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t McGuire\Documents\My Documents 11 9 2015\MIDDLESTATES\2016 TRINITY\DATA AND ILLUSTRATIONS\"/>
    </mc:Choice>
  </mc:AlternateContent>
  <bookViews>
    <workbookView xWindow="0" yWindow="0" windowWidth="19440" windowHeight="13740" tabRatio="931" activeTab="2"/>
  </bookViews>
  <sheets>
    <sheet name="Homegrown P&amp; L Model" sheetId="1" r:id="rId1"/>
    <sheet name="Homegrown P&amp; L Model w AC Costs" sheetId="39" r:id="rId2"/>
    <sheet name="Enrollment Basis" sheetId="41" r:id="rId3"/>
    <sheet name="New Students - Enrlmt Fees" sheetId="32" r:id="rId4"/>
    <sheet name="Tuition &amp; Fee Revenue" sheetId="5" r:id="rId5"/>
    <sheet name="Student Aid" sheetId="17" r:id="rId6"/>
    <sheet name="Tuition Revenue" sheetId="29" r:id="rId7"/>
    <sheet name="Grant Revenue" sheetId="4" r:id="rId8"/>
    <sheet name="Auxiliary Revenue" sheetId="3" r:id="rId9"/>
    <sheet name="Academic Center Related Expense" sheetId="40" r:id="rId10"/>
    <sheet name="Other Revenue" sheetId="2" r:id="rId11"/>
    <sheet name="Expenses by Object" sheetId="26" r:id="rId12"/>
    <sheet name="Debt Service" sheetId="15" r:id="rId13"/>
    <sheet name="Accretion Expense" sheetId="28" r:id="rId14"/>
    <sheet name="Depreciation" sheetId="14" r:id="rId15"/>
    <sheet name="Bond Principal" sheetId="38" r:id="rId16"/>
  </sheets>
  <externalReferences>
    <externalReference r:id="rId17"/>
  </externalReferences>
  <definedNames>
    <definedName name="\A" localSheetId="15">#REF!</definedName>
    <definedName name="\A" localSheetId="1">#REF!</definedName>
    <definedName name="\A">#REF!</definedName>
    <definedName name="\C" localSheetId="15">[1]FY99schedule!#REF!</definedName>
    <definedName name="\C" localSheetId="1">[1]FY99schedule!#REF!</definedName>
    <definedName name="\C">[1]FY99schedule!#REF!</definedName>
    <definedName name="\E" localSheetId="15">[1]FY99schedule!#REF!</definedName>
    <definedName name="\E" localSheetId="1">[1]FY99schedule!#REF!</definedName>
    <definedName name="\E">[1]FY99schedule!#REF!</definedName>
    <definedName name="\S" localSheetId="15">#REF!</definedName>
    <definedName name="\S" localSheetId="1">#REF!</definedName>
    <definedName name="\S">#REF!</definedName>
    <definedName name="\T" localSheetId="15">[1]FY99schedule!#REF!</definedName>
    <definedName name="\T" localSheetId="1">[1]FY99schedule!#REF!</definedName>
    <definedName name="\T">[1]FY99schedule!#REF!</definedName>
    <definedName name="_Key1" localSheetId="15" hidden="1">#REF!</definedName>
    <definedName name="_Key1" localSheetId="1" hidden="1">#REF!</definedName>
    <definedName name="_Key1" hidden="1">#REF!</definedName>
    <definedName name="_Key2" localSheetId="15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5" hidden="1">#REF!</definedName>
    <definedName name="_Sort" localSheetId="1" hidden="1">#REF!</definedName>
    <definedName name="_Sort" hidden="1">#REF!</definedName>
    <definedName name="AUG" localSheetId="15">#REF!</definedName>
    <definedName name="AUG" localSheetId="1">#REF!</definedName>
    <definedName name="AUG">#REF!</definedName>
    <definedName name="_xlnm.Print_Area" localSheetId="15">#REF!</definedName>
    <definedName name="_xlnm.Print_Area" localSheetId="1">#REF!</definedName>
    <definedName name="_xlnm.Print_Area">#REF!</definedName>
    <definedName name="_xlnm.Print_Titles" localSheetId="15">#REF!</definedName>
    <definedName name="_xlnm.Print_Titles" localSheetId="1">#REF!</definedName>
    <definedName name="_xlnm.Print_Titles">#REF!</definedName>
    <definedName name="PRINT_TITLES_MI" localSheetId="15">#REF!</definedName>
    <definedName name="PRINT_TITLES_MI" localSheetId="1">#REF!</definedName>
    <definedName name="PRINT_TITLES_MI">#REF!</definedName>
    <definedName name="PRINT1" localSheetId="1">#REF!</definedName>
    <definedName name="PRINT1">#REF!</definedName>
    <definedName name="PRINT3" localSheetId="1">#REF!</definedName>
    <definedName name="PRINT3">#REF!</definedName>
    <definedName name="ROWS3" localSheetId="1">#REF!</definedName>
    <definedName name="ROWS3">#REF!</definedName>
    <definedName name="SUMM" localSheetId="1">#REF!</definedName>
    <definedName name="SUMM">#REF!</definedName>
    <definedName name="vault2" localSheetId="1" hidden="1">#REF!</definedName>
    <definedName name="vault2" hidden="1">#REF!</definedName>
  </definedNames>
  <calcPr calcId="152511"/>
</workbook>
</file>

<file path=xl/calcChain.xml><?xml version="1.0" encoding="utf-8"?>
<calcChain xmlns="http://schemas.openxmlformats.org/spreadsheetml/2006/main">
  <c r="I20" i="41" l="1"/>
  <c r="H20" i="41"/>
  <c r="G20" i="41"/>
  <c r="F20" i="41"/>
  <c r="E20" i="41"/>
  <c r="D20" i="41"/>
  <c r="C20" i="41"/>
  <c r="B20" i="41"/>
  <c r="D36" i="39" l="1"/>
  <c r="C38" i="39"/>
  <c r="C37" i="39"/>
  <c r="C36" i="39"/>
  <c r="F10" i="40"/>
  <c r="G10" i="40" s="1"/>
  <c r="H10" i="40" s="1"/>
  <c r="E13" i="40"/>
  <c r="F13" i="40" s="1"/>
  <c r="G13" i="40" s="1"/>
  <c r="H13" i="40" s="1"/>
  <c r="E12" i="40"/>
  <c r="F12" i="40" s="1"/>
  <c r="G12" i="40" s="1"/>
  <c r="H12" i="40" s="1"/>
  <c r="E10" i="40"/>
  <c r="E11" i="40"/>
  <c r="D38" i="39" s="1"/>
  <c r="E8" i="40"/>
  <c r="F8" i="40" s="1"/>
  <c r="G8" i="40" s="1"/>
  <c r="H8" i="40" s="1"/>
  <c r="E7" i="40"/>
  <c r="D37" i="39" s="1"/>
  <c r="E5" i="40"/>
  <c r="F5" i="40" s="1"/>
  <c r="B15" i="40"/>
  <c r="G60" i="39"/>
  <c r="F60" i="39"/>
  <c r="E60" i="39"/>
  <c r="D60" i="39"/>
  <c r="C60" i="39"/>
  <c r="B60" i="39"/>
  <c r="B59" i="39"/>
  <c r="B50" i="39"/>
  <c r="B48" i="39"/>
  <c r="B46" i="39"/>
  <c r="D23" i="39"/>
  <c r="E23" i="39" s="1"/>
  <c r="F23" i="39" s="1"/>
  <c r="G23" i="39" s="1"/>
  <c r="B15" i="39"/>
  <c r="D4" i="39"/>
  <c r="E4" i="39" s="1"/>
  <c r="F4" i="39" s="1"/>
  <c r="G4" i="39" s="1"/>
  <c r="G5" i="40" l="1"/>
  <c r="E36" i="39"/>
  <c r="G38" i="39"/>
  <c r="F7" i="40"/>
  <c r="F11" i="40"/>
  <c r="G11" i="40" s="1"/>
  <c r="H11" i="40" s="1"/>
  <c r="E38" i="39"/>
  <c r="D15" i="40"/>
  <c r="E15" i="40"/>
  <c r="F10" i="26"/>
  <c r="G7" i="40" l="1"/>
  <c r="E37" i="39"/>
  <c r="F38" i="39"/>
  <c r="H5" i="40"/>
  <c r="G36" i="39" s="1"/>
  <c r="F36" i="39"/>
  <c r="F15" i="40"/>
  <c r="G15" i="40"/>
  <c r="B21" i="29"/>
  <c r="B22" i="29"/>
  <c r="B68" i="29" s="1"/>
  <c r="B23" i="29"/>
  <c r="B69" i="29" s="1"/>
  <c r="B24" i="29"/>
  <c r="B70" i="29" s="1"/>
  <c r="B25" i="29"/>
  <c r="B71" i="29" s="1"/>
  <c r="B26" i="29"/>
  <c r="B72" i="29" s="1"/>
  <c r="B27" i="29"/>
  <c r="B73" i="29" s="1"/>
  <c r="B28" i="29"/>
  <c r="B74" i="29" s="1"/>
  <c r="B29" i="29"/>
  <c r="B75" i="29" s="1"/>
  <c r="B30" i="29"/>
  <c r="B76" i="29" s="1"/>
  <c r="B20" i="29"/>
  <c r="B67" i="29" s="1"/>
  <c r="B14" i="29"/>
  <c r="C14" i="29"/>
  <c r="H7" i="40" l="1"/>
  <c r="G37" i="39" s="1"/>
  <c r="F37" i="39"/>
  <c r="B32" i="29"/>
  <c r="H15" i="40" l="1"/>
  <c r="C39" i="29"/>
  <c r="C40" i="29"/>
  <c r="C41" i="29"/>
  <c r="C42" i="29"/>
  <c r="C43" i="29"/>
  <c r="C44" i="29"/>
  <c r="C45" i="29"/>
  <c r="C46" i="29"/>
  <c r="C47" i="29"/>
  <c r="C48" i="29"/>
  <c r="C38" i="29"/>
  <c r="D31" i="4" l="1"/>
  <c r="B42" i="1" l="1"/>
  <c r="F21" i="29" l="1"/>
  <c r="F22" i="29"/>
  <c r="F23" i="29"/>
  <c r="F24" i="29"/>
  <c r="F25" i="29"/>
  <c r="F26" i="29"/>
  <c r="F27" i="29"/>
  <c r="F28" i="29"/>
  <c r="F29" i="29"/>
  <c r="F30" i="29"/>
  <c r="E21" i="29"/>
  <c r="E22" i="29"/>
  <c r="E23" i="29"/>
  <c r="E24" i="29"/>
  <c r="E25" i="29"/>
  <c r="E26" i="29"/>
  <c r="E27" i="29"/>
  <c r="E28" i="29"/>
  <c r="E29" i="29"/>
  <c r="E30" i="29"/>
  <c r="D21" i="29"/>
  <c r="D22" i="29"/>
  <c r="D23" i="29"/>
  <c r="D24" i="29"/>
  <c r="D25" i="29"/>
  <c r="D26" i="29"/>
  <c r="D27" i="29"/>
  <c r="D28" i="29"/>
  <c r="D29" i="29"/>
  <c r="D30" i="29"/>
  <c r="C21" i="29"/>
  <c r="C22" i="29"/>
  <c r="C23" i="29"/>
  <c r="C24" i="29"/>
  <c r="C25" i="29"/>
  <c r="C26" i="29"/>
  <c r="C27" i="29"/>
  <c r="C28" i="29"/>
  <c r="C29" i="29"/>
  <c r="C30" i="29"/>
  <c r="C20" i="29" l="1"/>
  <c r="C67" i="29" s="1"/>
  <c r="D20" i="29"/>
  <c r="F20" i="29"/>
  <c r="E20" i="29"/>
  <c r="C32" i="29"/>
  <c r="G54" i="1"/>
  <c r="B54" i="1"/>
  <c r="C53" i="28"/>
  <c r="C52" i="28"/>
  <c r="C51" i="28"/>
  <c r="C50" i="28"/>
  <c r="C49" i="28"/>
  <c r="G13" i="14"/>
  <c r="H13" i="14" s="1"/>
  <c r="I13" i="14" s="1"/>
  <c r="J13" i="14" s="1"/>
  <c r="G14" i="14"/>
  <c r="H14" i="14" s="1"/>
  <c r="I14" i="14" s="1"/>
  <c r="J14" i="14" s="1"/>
  <c r="H12" i="14"/>
  <c r="I12" i="14" s="1"/>
  <c r="J12" i="14" s="1"/>
  <c r="G12" i="14"/>
  <c r="G7" i="14"/>
  <c r="H7" i="14" s="1"/>
  <c r="I7" i="14" s="1"/>
  <c r="J7" i="14" s="1"/>
  <c r="G8" i="14"/>
  <c r="H8" i="14" s="1"/>
  <c r="I8" i="14" s="1"/>
  <c r="J8" i="14" s="1"/>
  <c r="G9" i="14"/>
  <c r="H9" i="14" s="1"/>
  <c r="I9" i="14" s="1"/>
  <c r="J9" i="14" s="1"/>
  <c r="E16" i="14"/>
  <c r="F122" i="26" s="1"/>
  <c r="C50" i="39" s="1"/>
  <c r="F11" i="14"/>
  <c r="G11" i="14" s="1"/>
  <c r="H11" i="14" s="1"/>
  <c r="I11" i="14" s="1"/>
  <c r="J11" i="14" s="1"/>
  <c r="F10" i="14"/>
  <c r="G10" i="14" s="1"/>
  <c r="H10" i="14" s="1"/>
  <c r="I10" i="14" s="1"/>
  <c r="J10" i="14" s="1"/>
  <c r="F6" i="14"/>
  <c r="G6" i="14" s="1"/>
  <c r="H6" i="14" s="1"/>
  <c r="F7" i="14"/>
  <c r="F8" i="14"/>
  <c r="F9" i="14"/>
  <c r="F5" i="14"/>
  <c r="H5" i="14" s="1"/>
  <c r="G5" i="14" l="1"/>
  <c r="F16" i="14"/>
  <c r="G122" i="26" s="1"/>
  <c r="D50" i="39" s="1"/>
  <c r="J5" i="14"/>
  <c r="I5" i="14"/>
  <c r="I6" i="14"/>
  <c r="H16" i="14"/>
  <c r="I122" i="26" s="1"/>
  <c r="F50" i="39" s="1"/>
  <c r="G16" i="14"/>
  <c r="H122" i="26" s="1"/>
  <c r="E50" i="39" s="1"/>
  <c r="F32" i="29"/>
  <c r="E32" i="29"/>
  <c r="D32" i="29"/>
  <c r="J6" i="14" l="1"/>
  <c r="J16" i="14" s="1"/>
  <c r="I16" i="14"/>
  <c r="J122" i="26" s="1"/>
  <c r="G50" i="39" s="1"/>
  <c r="B15" i="1" l="1"/>
  <c r="B40" i="1"/>
  <c r="B21" i="5"/>
  <c r="D8" i="3" l="1"/>
  <c r="E8" i="3" s="1"/>
  <c r="F54" i="1" l="1"/>
  <c r="E54" i="1"/>
  <c r="D54" i="1"/>
  <c r="C54" i="1"/>
  <c r="B44" i="1"/>
  <c r="D20" i="17" l="1"/>
  <c r="D21" i="17"/>
  <c r="D22" i="17"/>
  <c r="D19" i="17"/>
  <c r="D16" i="17"/>
  <c r="D10" i="17"/>
  <c r="D8" i="17"/>
  <c r="D7" i="17"/>
  <c r="G121" i="26"/>
  <c r="H121" i="26"/>
  <c r="I121" i="26"/>
  <c r="J121" i="26"/>
  <c r="F121" i="26"/>
  <c r="K13" i="38" l="1"/>
  <c r="K14" i="38"/>
  <c r="K15" i="38" s="1"/>
  <c r="K16" i="38" s="1"/>
  <c r="K17" i="38" s="1"/>
  <c r="K18" i="38" s="1"/>
  <c r="K19" i="38" s="1"/>
  <c r="K20" i="38" s="1"/>
  <c r="K21" i="38" s="1"/>
  <c r="K22" i="38" s="1"/>
  <c r="K23" i="38" s="1"/>
  <c r="K24" i="38" s="1"/>
  <c r="K25" i="38" s="1"/>
  <c r="K26" i="38" s="1"/>
  <c r="K27" i="38" s="1"/>
  <c r="K28" i="38" s="1"/>
  <c r="K29" i="38" s="1"/>
  <c r="K30" i="38" s="1"/>
  <c r="K31" i="38" s="1"/>
  <c r="K32" i="38" s="1"/>
  <c r="K33" i="38" s="1"/>
  <c r="K34" i="38" s="1"/>
  <c r="K35" i="38" s="1"/>
  <c r="D11" i="38"/>
  <c r="B6" i="15" s="1"/>
  <c r="B8" i="15" s="1"/>
  <c r="C59" i="39" l="1"/>
  <c r="C53" i="1"/>
  <c r="D12" i="38"/>
  <c r="G1" i="26"/>
  <c r="H1" i="26" s="1"/>
  <c r="I1" i="26" s="1"/>
  <c r="J1" i="26" s="1"/>
  <c r="G34" i="26"/>
  <c r="H34" i="26" s="1"/>
  <c r="I34" i="26" s="1"/>
  <c r="J34" i="26" s="1"/>
  <c r="B53" i="1"/>
  <c r="D4" i="1"/>
  <c r="E4" i="1" s="1"/>
  <c r="F4" i="1" s="1"/>
  <c r="G4" i="1" s="1"/>
  <c r="D39" i="32"/>
  <c r="E39" i="32" s="1"/>
  <c r="G38" i="32"/>
  <c r="F38" i="32"/>
  <c r="E38" i="32"/>
  <c r="D38" i="32"/>
  <c r="D40" i="32" s="1"/>
  <c r="E46" i="5" s="1"/>
  <c r="C38" i="32"/>
  <c r="C40" i="32" s="1"/>
  <c r="D46" i="5" s="1"/>
  <c r="G33" i="32"/>
  <c r="F33" i="32"/>
  <c r="E33" i="32"/>
  <c r="D33" i="32"/>
  <c r="G28" i="32"/>
  <c r="F28" i="32"/>
  <c r="E28" i="32"/>
  <c r="D28" i="32"/>
  <c r="G23" i="32"/>
  <c r="F23" i="32"/>
  <c r="E23" i="32"/>
  <c r="D23" i="32"/>
  <c r="C28" i="32"/>
  <c r="C23" i="32"/>
  <c r="D29" i="32"/>
  <c r="G18" i="32"/>
  <c r="C6" i="15" l="1"/>
  <c r="C8" i="15" s="1"/>
  <c r="D13" i="38"/>
  <c r="F39" i="32"/>
  <c r="E40" i="32"/>
  <c r="F46" i="5" s="1"/>
  <c r="D30" i="32"/>
  <c r="E29" i="32"/>
  <c r="C30" i="32"/>
  <c r="D6" i="15" l="1"/>
  <c r="D8" i="15" s="1"/>
  <c r="D14" i="38"/>
  <c r="D59" i="39"/>
  <c r="D53" i="1"/>
  <c r="F40" i="32"/>
  <c r="G46" i="5" s="1"/>
  <c r="G39" i="32"/>
  <c r="G40" i="32" s="1"/>
  <c r="H46" i="5" s="1"/>
  <c r="F29" i="32"/>
  <c r="E30" i="32"/>
  <c r="D15" i="38" l="1"/>
  <c r="E6" i="15"/>
  <c r="E8" i="15" s="1"/>
  <c r="E53" i="1"/>
  <c r="E59" i="39"/>
  <c r="F30" i="32"/>
  <c r="G29" i="32"/>
  <c r="G30" i="32" s="1"/>
  <c r="F59" i="39" l="1"/>
  <c r="F53" i="1"/>
  <c r="D16" i="38"/>
  <c r="D17" i="38" s="1"/>
  <c r="D18" i="38" s="1"/>
  <c r="D19" i="38" s="1"/>
  <c r="D20" i="38" s="1"/>
  <c r="D21" i="38" s="1"/>
  <c r="D22" i="38" s="1"/>
  <c r="D23" i="38" s="1"/>
  <c r="D24" i="38" s="1"/>
  <c r="D25" i="38" s="1"/>
  <c r="D26" i="38" s="1"/>
  <c r="D27" i="38" s="1"/>
  <c r="D28" i="38" s="1"/>
  <c r="F6" i="15"/>
  <c r="F8" i="15" s="1"/>
  <c r="D39" i="29"/>
  <c r="E39" i="29" s="1"/>
  <c r="F39" i="29" s="1"/>
  <c r="J14" i="29"/>
  <c r="K14" i="29"/>
  <c r="G53" i="1" l="1"/>
  <c r="G59" i="39"/>
  <c r="B12" i="17"/>
  <c r="B9" i="39" s="1"/>
  <c r="B9" i="1" l="1"/>
  <c r="B24" i="17"/>
  <c r="B48" i="5"/>
  <c r="B50" i="5" s="1"/>
  <c r="F18" i="32"/>
  <c r="E18" i="32"/>
  <c r="D18" i="32"/>
  <c r="C18" i="32"/>
  <c r="D41" i="29"/>
  <c r="D42" i="29"/>
  <c r="D43" i="29"/>
  <c r="D44" i="29"/>
  <c r="D45" i="29"/>
  <c r="D46" i="29"/>
  <c r="D47" i="29"/>
  <c r="D48" i="29"/>
  <c r="D38" i="29"/>
  <c r="D67" i="29" s="1"/>
  <c r="B8" i="1" l="1"/>
  <c r="B8" i="39"/>
  <c r="B12" i="39" s="1"/>
  <c r="B10" i="1"/>
  <c r="B12" i="1" s="1"/>
  <c r="B10" i="39"/>
  <c r="B27" i="17"/>
  <c r="F12" i="15" l="1"/>
  <c r="D44" i="1"/>
  <c r="E44" i="1"/>
  <c r="F44" i="1"/>
  <c r="G44" i="1"/>
  <c r="C44" i="1"/>
  <c r="D10" i="2"/>
  <c r="E10" i="2" s="1"/>
  <c r="F10" i="2" s="1"/>
  <c r="G10" i="2" s="1"/>
  <c r="H10" i="2" s="1"/>
  <c r="D11" i="2"/>
  <c r="E11" i="2" s="1"/>
  <c r="F11" i="2" s="1"/>
  <c r="G11" i="2" s="1"/>
  <c r="H11" i="2" s="1"/>
  <c r="J120" i="26" l="1"/>
  <c r="J125" i="26" s="1"/>
  <c r="C123" i="26" l="1"/>
  <c r="C120" i="26"/>
  <c r="C122" i="26"/>
  <c r="F42" i="26"/>
  <c r="F20" i="26"/>
  <c r="E10" i="17" l="1"/>
  <c r="F10" i="17" s="1"/>
  <c r="G10" i="17" s="1"/>
  <c r="H10" i="17" s="1"/>
  <c r="E8" i="17"/>
  <c r="F8" i="17" s="1"/>
  <c r="G8" i="17" s="1"/>
  <c r="H8" i="17" s="1"/>
  <c r="E6" i="3"/>
  <c r="B14" i="2"/>
  <c r="F92" i="26"/>
  <c r="F83" i="26"/>
  <c r="F89" i="26"/>
  <c r="F97" i="26"/>
  <c r="F11" i="26"/>
  <c r="G93" i="26"/>
  <c r="H93" i="26" s="1"/>
  <c r="I93" i="26" s="1"/>
  <c r="J93" i="26" s="1"/>
  <c r="G94" i="26"/>
  <c r="G95" i="26"/>
  <c r="H95" i="26" s="1"/>
  <c r="I95" i="26" s="1"/>
  <c r="J95" i="26" s="1"/>
  <c r="G96" i="26"/>
  <c r="H96" i="26" s="1"/>
  <c r="I96" i="26" s="1"/>
  <c r="J96" i="26" s="1"/>
  <c r="G84" i="26"/>
  <c r="H84" i="26" s="1"/>
  <c r="I84" i="26" s="1"/>
  <c r="G85" i="26"/>
  <c r="H85" i="26" s="1"/>
  <c r="I85" i="26" s="1"/>
  <c r="J85" i="26" s="1"/>
  <c r="G86" i="26"/>
  <c r="H86" i="26" s="1"/>
  <c r="I86" i="26" s="1"/>
  <c r="J86" i="26" s="1"/>
  <c r="G87" i="26"/>
  <c r="H87" i="26" s="1"/>
  <c r="I87" i="26" s="1"/>
  <c r="J87" i="26" s="1"/>
  <c r="G88" i="26"/>
  <c r="H88" i="26" s="1"/>
  <c r="I88" i="26" s="1"/>
  <c r="J88" i="26" s="1"/>
  <c r="G12" i="26"/>
  <c r="H12" i="26" s="1"/>
  <c r="I12" i="26" s="1"/>
  <c r="J12" i="26" s="1"/>
  <c r="G13" i="26"/>
  <c r="H13" i="26" s="1"/>
  <c r="I13" i="26" s="1"/>
  <c r="J13" i="26" s="1"/>
  <c r="G14" i="26"/>
  <c r="G15" i="26"/>
  <c r="G16" i="26"/>
  <c r="G17" i="26"/>
  <c r="H17" i="26" s="1"/>
  <c r="I17" i="26" s="1"/>
  <c r="J17" i="26" s="1"/>
  <c r="G18" i="26"/>
  <c r="H18" i="26" s="1"/>
  <c r="I18" i="26" s="1"/>
  <c r="J18" i="26" s="1"/>
  <c r="G19" i="26"/>
  <c r="H19" i="26" s="1"/>
  <c r="I19" i="26" s="1"/>
  <c r="J19" i="26" s="1"/>
  <c r="G20" i="26"/>
  <c r="H20" i="26" s="1"/>
  <c r="I20" i="26" s="1"/>
  <c r="J20" i="26" s="1"/>
  <c r="G21" i="26"/>
  <c r="H21" i="26" s="1"/>
  <c r="I21" i="26" s="1"/>
  <c r="J21" i="26" s="1"/>
  <c r="G22" i="26"/>
  <c r="H22" i="26" s="1"/>
  <c r="I22" i="26" s="1"/>
  <c r="J22" i="26" s="1"/>
  <c r="G23" i="26"/>
  <c r="H23" i="26" s="1"/>
  <c r="I23" i="26" s="1"/>
  <c r="J23" i="26" s="1"/>
  <c r="G24" i="26"/>
  <c r="H24" i="26" s="1"/>
  <c r="I24" i="26" s="1"/>
  <c r="J24" i="26" s="1"/>
  <c r="G25" i="26"/>
  <c r="H25" i="26" s="1"/>
  <c r="I25" i="26" s="1"/>
  <c r="J25" i="26" s="1"/>
  <c r="G26" i="26"/>
  <c r="H26" i="26" s="1"/>
  <c r="I26" i="26" s="1"/>
  <c r="J26" i="26" s="1"/>
  <c r="G27" i="26"/>
  <c r="H27" i="26" s="1"/>
  <c r="I27" i="26" s="1"/>
  <c r="J27" i="26" s="1"/>
  <c r="G29" i="26"/>
  <c r="H29" i="26" s="1"/>
  <c r="I29" i="26" s="1"/>
  <c r="J29" i="26" s="1"/>
  <c r="G30" i="26"/>
  <c r="H30" i="26" s="1"/>
  <c r="I30" i="26" s="1"/>
  <c r="J30" i="26" s="1"/>
  <c r="G31" i="26"/>
  <c r="H31" i="26" s="1"/>
  <c r="I31" i="26" s="1"/>
  <c r="J31" i="26" s="1"/>
  <c r="G32" i="26"/>
  <c r="H32" i="26" s="1"/>
  <c r="I32" i="26" s="1"/>
  <c r="J32" i="26" s="1"/>
  <c r="G33" i="26"/>
  <c r="H33" i="26" s="1"/>
  <c r="I33" i="26" s="1"/>
  <c r="J33" i="26" s="1"/>
  <c r="G35" i="26"/>
  <c r="H35" i="26" s="1"/>
  <c r="I35" i="26" s="1"/>
  <c r="J35" i="26" s="1"/>
  <c r="G36" i="26"/>
  <c r="H36" i="26" s="1"/>
  <c r="I36" i="26" s="1"/>
  <c r="J36" i="26" s="1"/>
  <c r="G37" i="26"/>
  <c r="H37" i="26" s="1"/>
  <c r="I37" i="26" s="1"/>
  <c r="J37" i="26" s="1"/>
  <c r="G38" i="26"/>
  <c r="H38" i="26" s="1"/>
  <c r="I38" i="26" s="1"/>
  <c r="J38" i="26" s="1"/>
  <c r="G39" i="26"/>
  <c r="H39" i="26" s="1"/>
  <c r="I39" i="26" s="1"/>
  <c r="J39" i="26" s="1"/>
  <c r="G40" i="26"/>
  <c r="H40" i="26" s="1"/>
  <c r="I40" i="26" s="1"/>
  <c r="J40" i="26" s="1"/>
  <c r="G41" i="26"/>
  <c r="H41" i="26" s="1"/>
  <c r="I41" i="26" s="1"/>
  <c r="J41" i="26" s="1"/>
  <c r="G42" i="26"/>
  <c r="H42" i="26" s="1"/>
  <c r="I42" i="26" s="1"/>
  <c r="J42" i="26" s="1"/>
  <c r="G43" i="26"/>
  <c r="H43" i="26" s="1"/>
  <c r="I43" i="26" s="1"/>
  <c r="J43" i="26" s="1"/>
  <c r="G44" i="26"/>
  <c r="H44" i="26" s="1"/>
  <c r="I44" i="26" s="1"/>
  <c r="J44" i="26" s="1"/>
  <c r="G45" i="26"/>
  <c r="H45" i="26" s="1"/>
  <c r="I45" i="26" s="1"/>
  <c r="J45" i="26" s="1"/>
  <c r="G46" i="26"/>
  <c r="H46" i="26" s="1"/>
  <c r="I46" i="26" s="1"/>
  <c r="J46" i="26" s="1"/>
  <c r="G47" i="26"/>
  <c r="H47" i="26" s="1"/>
  <c r="I47" i="26" s="1"/>
  <c r="J47" i="26" s="1"/>
  <c r="G48" i="26"/>
  <c r="H48" i="26" s="1"/>
  <c r="I48" i="26" s="1"/>
  <c r="J48" i="26" s="1"/>
  <c r="G49" i="26"/>
  <c r="H49" i="26" s="1"/>
  <c r="I49" i="26" s="1"/>
  <c r="J49" i="26" s="1"/>
  <c r="G50" i="26"/>
  <c r="H50" i="26" s="1"/>
  <c r="I50" i="26" s="1"/>
  <c r="J50" i="26" s="1"/>
  <c r="G51" i="26"/>
  <c r="H51" i="26" s="1"/>
  <c r="I51" i="26" s="1"/>
  <c r="J51" i="26" s="1"/>
  <c r="G52" i="26"/>
  <c r="H52" i="26" s="1"/>
  <c r="I52" i="26" s="1"/>
  <c r="J52" i="26" s="1"/>
  <c r="G53" i="26"/>
  <c r="H53" i="26" s="1"/>
  <c r="I53" i="26" s="1"/>
  <c r="J53" i="26" s="1"/>
  <c r="G54" i="26"/>
  <c r="H54" i="26" s="1"/>
  <c r="I54" i="26" s="1"/>
  <c r="J54" i="26" s="1"/>
  <c r="G56" i="26"/>
  <c r="H56" i="26" s="1"/>
  <c r="I56" i="26" s="1"/>
  <c r="J56" i="26" s="1"/>
  <c r="G57" i="26"/>
  <c r="H57" i="26" s="1"/>
  <c r="I57" i="26" s="1"/>
  <c r="J57" i="26" s="1"/>
  <c r="G58" i="26"/>
  <c r="H58" i="26" s="1"/>
  <c r="I58" i="26" s="1"/>
  <c r="J58" i="26" s="1"/>
  <c r="G59" i="26"/>
  <c r="H59" i="26" s="1"/>
  <c r="I59" i="26" s="1"/>
  <c r="J59" i="26" s="1"/>
  <c r="G60" i="26"/>
  <c r="H60" i="26" s="1"/>
  <c r="I60" i="26" s="1"/>
  <c r="J60" i="26" s="1"/>
  <c r="G61" i="26"/>
  <c r="H61" i="26" s="1"/>
  <c r="I61" i="26" s="1"/>
  <c r="J61" i="26" s="1"/>
  <c r="G62" i="26"/>
  <c r="H62" i="26" s="1"/>
  <c r="I62" i="26" s="1"/>
  <c r="J62" i="26" s="1"/>
  <c r="G63" i="26"/>
  <c r="H63" i="26" s="1"/>
  <c r="I63" i="26" s="1"/>
  <c r="J63" i="26" s="1"/>
  <c r="G64" i="26"/>
  <c r="H64" i="26" s="1"/>
  <c r="I64" i="26" s="1"/>
  <c r="J64" i="26" s="1"/>
  <c r="G65" i="26"/>
  <c r="H65" i="26" s="1"/>
  <c r="I65" i="26" s="1"/>
  <c r="J65" i="26" s="1"/>
  <c r="G66" i="26"/>
  <c r="H66" i="26" s="1"/>
  <c r="I66" i="26" s="1"/>
  <c r="J66" i="26" s="1"/>
  <c r="G67" i="26"/>
  <c r="H67" i="26" s="1"/>
  <c r="I67" i="26" s="1"/>
  <c r="J67" i="26" s="1"/>
  <c r="G68" i="26"/>
  <c r="H68" i="26" s="1"/>
  <c r="I68" i="26" s="1"/>
  <c r="J68" i="26" s="1"/>
  <c r="G69" i="26"/>
  <c r="H69" i="26" s="1"/>
  <c r="I69" i="26" s="1"/>
  <c r="J69" i="26" s="1"/>
  <c r="G70" i="26"/>
  <c r="H70" i="26" s="1"/>
  <c r="I70" i="26" s="1"/>
  <c r="J70" i="26" s="1"/>
  <c r="G71" i="26"/>
  <c r="H71" i="26" s="1"/>
  <c r="I71" i="26" s="1"/>
  <c r="J71" i="26" s="1"/>
  <c r="G72" i="26"/>
  <c r="H72" i="26" s="1"/>
  <c r="I72" i="26" s="1"/>
  <c r="J72" i="26" s="1"/>
  <c r="G73" i="26"/>
  <c r="H73" i="26" s="1"/>
  <c r="I73" i="26" s="1"/>
  <c r="J73" i="26" s="1"/>
  <c r="G74" i="26"/>
  <c r="H74" i="26" s="1"/>
  <c r="I74" i="26" s="1"/>
  <c r="J74" i="26" s="1"/>
  <c r="G75" i="26"/>
  <c r="H75" i="26" s="1"/>
  <c r="I75" i="26" s="1"/>
  <c r="J75" i="26" s="1"/>
  <c r="G76" i="26"/>
  <c r="H76" i="26" s="1"/>
  <c r="I76" i="26" s="1"/>
  <c r="J76" i="26" s="1"/>
  <c r="G77" i="26"/>
  <c r="H77" i="26" s="1"/>
  <c r="I77" i="26" s="1"/>
  <c r="J77" i="26" s="1"/>
  <c r="G78" i="26"/>
  <c r="H78" i="26" s="1"/>
  <c r="I78" i="26" s="1"/>
  <c r="J78" i="26" s="1"/>
  <c r="G79" i="26"/>
  <c r="H79" i="26" s="1"/>
  <c r="I79" i="26" s="1"/>
  <c r="J79" i="26" s="1"/>
  <c r="G80" i="26"/>
  <c r="H80" i="26" s="1"/>
  <c r="I80" i="26" s="1"/>
  <c r="J80" i="26" s="1"/>
  <c r="G81" i="26"/>
  <c r="H81" i="26" s="1"/>
  <c r="I81" i="26" s="1"/>
  <c r="J81" i="26" s="1"/>
  <c r="G82" i="26"/>
  <c r="H82" i="26" s="1"/>
  <c r="I82" i="26" s="1"/>
  <c r="J82" i="26" s="1"/>
  <c r="H14" i="26"/>
  <c r="I14" i="26" s="1"/>
  <c r="J14" i="26" s="1"/>
  <c r="H15" i="26"/>
  <c r="I15" i="26" s="1"/>
  <c r="J15" i="26" s="1"/>
  <c r="H16" i="26"/>
  <c r="I16" i="26" s="1"/>
  <c r="J16" i="26" s="1"/>
  <c r="G4" i="26"/>
  <c r="H4" i="26" s="1"/>
  <c r="I4" i="26" s="1"/>
  <c r="J4" i="26" s="1"/>
  <c r="G5" i="26"/>
  <c r="H5" i="26" s="1"/>
  <c r="I5" i="26" s="1"/>
  <c r="J5" i="26" s="1"/>
  <c r="G6" i="26"/>
  <c r="H6" i="26" s="1"/>
  <c r="I6" i="26" s="1"/>
  <c r="J6" i="26" s="1"/>
  <c r="G7" i="26"/>
  <c r="H7" i="26" s="1"/>
  <c r="I7" i="26" s="1"/>
  <c r="J7" i="26" s="1"/>
  <c r="G8" i="26"/>
  <c r="H8" i="26" s="1"/>
  <c r="I8" i="26" s="1"/>
  <c r="J8" i="26" s="1"/>
  <c r="G9" i="26"/>
  <c r="H9" i="26" s="1"/>
  <c r="I9" i="26" s="1"/>
  <c r="J9" i="26" s="1"/>
  <c r="G10" i="26"/>
  <c r="H10" i="26" s="1"/>
  <c r="I10" i="26" s="1"/>
  <c r="J10" i="26" s="1"/>
  <c r="H90" i="26"/>
  <c r="I90" i="26" s="1"/>
  <c r="J90" i="26" s="1"/>
  <c r="G91" i="26"/>
  <c r="E19" i="5"/>
  <c r="F19" i="5"/>
  <c r="G19" i="5"/>
  <c r="H19" i="5"/>
  <c r="D19" i="5"/>
  <c r="C86" i="29"/>
  <c r="D86" i="29" s="1"/>
  <c r="E12" i="15"/>
  <c r="C12" i="15"/>
  <c r="D20" i="3"/>
  <c r="E20" i="3" s="1"/>
  <c r="D21" i="3"/>
  <c r="E21" i="3" s="1"/>
  <c r="F21" i="3" s="1"/>
  <c r="G21" i="3" s="1"/>
  <c r="H21" i="3" s="1"/>
  <c r="D22" i="3"/>
  <c r="E22" i="3" s="1"/>
  <c r="F22" i="3" s="1"/>
  <c r="G22" i="3" s="1"/>
  <c r="H22" i="3" s="1"/>
  <c r="D23" i="3"/>
  <c r="E23" i="3" s="1"/>
  <c r="F23" i="3" s="1"/>
  <c r="G23" i="3" s="1"/>
  <c r="H23" i="3" s="1"/>
  <c r="D24" i="3"/>
  <c r="E24" i="3" s="1"/>
  <c r="F24" i="3" s="1"/>
  <c r="G24" i="3" s="1"/>
  <c r="H24" i="3" s="1"/>
  <c r="D25" i="3"/>
  <c r="E25" i="3" s="1"/>
  <c r="F25" i="3" s="1"/>
  <c r="G25" i="3" s="1"/>
  <c r="H25" i="3" s="1"/>
  <c r="D26" i="3"/>
  <c r="E26" i="3"/>
  <c r="F26" i="3" s="1"/>
  <c r="G26" i="3" s="1"/>
  <c r="H26" i="3" s="1"/>
  <c r="D27" i="3"/>
  <c r="E27" i="3" s="1"/>
  <c r="F27" i="3" s="1"/>
  <c r="G27" i="3" s="1"/>
  <c r="H27" i="3" s="1"/>
  <c r="D28" i="3"/>
  <c r="E28" i="3" s="1"/>
  <c r="F28" i="3" s="1"/>
  <c r="G28" i="3" s="1"/>
  <c r="H28" i="3" s="1"/>
  <c r="D29" i="3"/>
  <c r="E29" i="3" s="1"/>
  <c r="F29" i="3" s="1"/>
  <c r="G29" i="3" s="1"/>
  <c r="H29" i="3" s="1"/>
  <c r="D30" i="3"/>
  <c r="E30" i="3" s="1"/>
  <c r="F30" i="3" s="1"/>
  <c r="G30" i="3" s="1"/>
  <c r="H30" i="3" s="1"/>
  <c r="B32" i="3"/>
  <c r="B17" i="39" s="1"/>
  <c r="D17" i="4"/>
  <c r="E17" i="4" s="1"/>
  <c r="D18" i="4"/>
  <c r="E18" i="4" s="1"/>
  <c r="F18" i="4" s="1"/>
  <c r="G18" i="4" s="1"/>
  <c r="H18" i="4" s="1"/>
  <c r="E19" i="4"/>
  <c r="F19" i="4" s="1"/>
  <c r="G19" i="4" s="1"/>
  <c r="H19" i="4" s="1"/>
  <c r="D20" i="4"/>
  <c r="E20" i="4" s="1"/>
  <c r="F20" i="4" s="1"/>
  <c r="G20" i="4" s="1"/>
  <c r="H20" i="4" s="1"/>
  <c r="D22" i="4"/>
  <c r="E22" i="4" s="1"/>
  <c r="F22" i="4"/>
  <c r="G22" i="4" s="1"/>
  <c r="H22" i="4" s="1"/>
  <c r="F16" i="4"/>
  <c r="E21" i="4"/>
  <c r="F21" i="4" s="1"/>
  <c r="G21" i="4" s="1"/>
  <c r="H21" i="4" s="1"/>
  <c r="D4" i="4"/>
  <c r="E4" i="4" s="1"/>
  <c r="D5" i="4"/>
  <c r="E5" i="4" s="1"/>
  <c r="F5" i="4" s="1"/>
  <c r="G5" i="4" s="1"/>
  <c r="H5" i="4" s="1"/>
  <c r="B10" i="4"/>
  <c r="B14" i="39" s="1"/>
  <c r="E19" i="17"/>
  <c r="F19" i="17" s="1"/>
  <c r="G19" i="17" s="1"/>
  <c r="H19" i="17" s="1"/>
  <c r="E20" i="17"/>
  <c r="F20" i="17" s="1"/>
  <c r="G20" i="17" s="1"/>
  <c r="H20" i="17" s="1"/>
  <c r="E21" i="17"/>
  <c r="F21" i="17" s="1"/>
  <c r="G21" i="17" s="1"/>
  <c r="H21" i="17" s="1"/>
  <c r="E22" i="17"/>
  <c r="F22" i="17" s="1"/>
  <c r="G22" i="17" s="1"/>
  <c r="H22" i="17" s="1"/>
  <c r="D5" i="2"/>
  <c r="E5" i="2" s="1"/>
  <c r="D6" i="2"/>
  <c r="E6" i="2" s="1"/>
  <c r="F6" i="2" s="1"/>
  <c r="G6" i="2" s="1"/>
  <c r="H6" i="2" s="1"/>
  <c r="D7" i="2"/>
  <c r="E7" i="2" s="1"/>
  <c r="F7" i="2" s="1"/>
  <c r="G7" i="2" s="1"/>
  <c r="H7" i="2" s="1"/>
  <c r="D8" i="2"/>
  <c r="E8" i="2" s="1"/>
  <c r="F8" i="2" s="1"/>
  <c r="G8" i="2" s="1"/>
  <c r="H8" i="2" s="1"/>
  <c r="D9" i="2"/>
  <c r="E9" i="2" s="1"/>
  <c r="F9" i="2" s="1"/>
  <c r="G9" i="2" s="1"/>
  <c r="H9" i="2" s="1"/>
  <c r="E12" i="3"/>
  <c r="F12" i="3" s="1"/>
  <c r="G12" i="3" s="1"/>
  <c r="H12" i="3" s="1"/>
  <c r="D11" i="3"/>
  <c r="E11" i="3" s="1"/>
  <c r="E7" i="3"/>
  <c r="F7" i="3" s="1"/>
  <c r="G7" i="3" s="1"/>
  <c r="H7" i="3" s="1"/>
  <c r="E5" i="3"/>
  <c r="F5" i="3" s="1"/>
  <c r="D34" i="32"/>
  <c r="E34" i="32" s="1"/>
  <c r="F34" i="32" s="1"/>
  <c r="G34" i="32" s="1"/>
  <c r="G35" i="32" s="1"/>
  <c r="H42" i="5" s="1"/>
  <c r="C33" i="32"/>
  <c r="C35" i="32" s="1"/>
  <c r="D42" i="5" s="1"/>
  <c r="D24" i="32"/>
  <c r="D19" i="32"/>
  <c r="E19" i="32" s="1"/>
  <c r="E31" i="5"/>
  <c r="F31" i="5" s="1"/>
  <c r="G31" i="5" s="1"/>
  <c r="H31" i="5" s="1"/>
  <c r="E43" i="5"/>
  <c r="F43" i="5" s="1"/>
  <c r="G43" i="5" s="1"/>
  <c r="H43" i="5" s="1"/>
  <c r="E41" i="5"/>
  <c r="F41" i="5" s="1"/>
  <c r="G41" i="5" s="1"/>
  <c r="H41" i="5" s="1"/>
  <c r="E40" i="5"/>
  <c r="F40" i="5" s="1"/>
  <c r="G40" i="5" s="1"/>
  <c r="H40" i="5" s="1"/>
  <c r="E39" i="5"/>
  <c r="F39" i="5" s="1"/>
  <c r="G39" i="5" s="1"/>
  <c r="H39" i="5" s="1"/>
  <c r="E38" i="5"/>
  <c r="F38" i="5" s="1"/>
  <c r="G38" i="5"/>
  <c r="H38" i="5" s="1"/>
  <c r="E36" i="5"/>
  <c r="F36" i="5" s="1"/>
  <c r="G36" i="5"/>
  <c r="H36" i="5" s="1"/>
  <c r="E35" i="5"/>
  <c r="F35" i="5" s="1"/>
  <c r="G35" i="5" s="1"/>
  <c r="H35" i="5" s="1"/>
  <c r="E33" i="5"/>
  <c r="F33" i="5" s="1"/>
  <c r="G33" i="5" s="1"/>
  <c r="H33" i="5" s="1"/>
  <c r="E30" i="5"/>
  <c r="F30" i="5" s="1"/>
  <c r="G30" i="5" s="1"/>
  <c r="H30" i="5" s="1"/>
  <c r="D15" i="5"/>
  <c r="H34" i="5"/>
  <c r="I14" i="29"/>
  <c r="H14" i="29"/>
  <c r="G34" i="5"/>
  <c r="F34" i="5"/>
  <c r="D7" i="5"/>
  <c r="D10" i="5"/>
  <c r="D11" i="5"/>
  <c r="D5" i="5"/>
  <c r="C99" i="26"/>
  <c r="C103" i="26" s="1"/>
  <c r="D97" i="26"/>
  <c r="D92" i="26"/>
  <c r="D89" i="26"/>
  <c r="D83" i="26"/>
  <c r="D11" i="26"/>
  <c r="H91" i="26"/>
  <c r="E41" i="29"/>
  <c r="F41" i="29" s="1"/>
  <c r="E42" i="29"/>
  <c r="F42" i="29" s="1"/>
  <c r="E43" i="29"/>
  <c r="F43" i="29" s="1"/>
  <c r="E48" i="29"/>
  <c r="F48" i="29" s="1"/>
  <c r="F7" i="17"/>
  <c r="G7" i="17" s="1"/>
  <c r="H7" i="17" s="1"/>
  <c r="C53" i="29"/>
  <c r="C54" i="29"/>
  <c r="C69" i="29" s="1"/>
  <c r="C55" i="29"/>
  <c r="C70" i="29" s="1"/>
  <c r="C56" i="29"/>
  <c r="C71" i="29" s="1"/>
  <c r="C57" i="29"/>
  <c r="C58" i="29"/>
  <c r="C59" i="29"/>
  <c r="C60" i="29"/>
  <c r="C61" i="29"/>
  <c r="C76" i="29" s="1"/>
  <c r="D14" i="29"/>
  <c r="E14" i="29"/>
  <c r="F14" i="29"/>
  <c r="G14" i="29"/>
  <c r="F6" i="3"/>
  <c r="G6" i="3" s="1"/>
  <c r="H6" i="3" s="1"/>
  <c r="D9" i="3"/>
  <c r="F9" i="3"/>
  <c r="G9" i="3" s="1"/>
  <c r="H9" i="3" s="1"/>
  <c r="F11" i="3"/>
  <c r="G11" i="3" s="1"/>
  <c r="H11" i="3" s="1"/>
  <c r="D23" i="1"/>
  <c r="E23" i="1" s="1"/>
  <c r="F23" i="1" s="1"/>
  <c r="G23" i="1" s="1"/>
  <c r="B24" i="4"/>
  <c r="B14" i="3"/>
  <c r="B32" i="1" l="1"/>
  <c r="B32" i="39"/>
  <c r="C31" i="1"/>
  <c r="C31" i="39"/>
  <c r="B18" i="1"/>
  <c r="B18" i="39"/>
  <c r="B30" i="1"/>
  <c r="B30" i="39"/>
  <c r="G16" i="4"/>
  <c r="C30" i="1"/>
  <c r="C30" i="39"/>
  <c r="E24" i="4"/>
  <c r="C32" i="1"/>
  <c r="C32" i="39"/>
  <c r="B33" i="1"/>
  <c r="B33" i="39"/>
  <c r="B16" i="1"/>
  <c r="B16" i="39"/>
  <c r="B21" i="39" s="1"/>
  <c r="B26" i="39" s="1"/>
  <c r="D24" i="4"/>
  <c r="C15" i="39" s="1"/>
  <c r="B29" i="1"/>
  <c r="B29" i="39"/>
  <c r="B31" i="1"/>
  <c r="B35" i="1" s="1"/>
  <c r="B31" i="39"/>
  <c r="F17" i="4"/>
  <c r="G17" i="4" s="1"/>
  <c r="H17" i="4" s="1"/>
  <c r="C29" i="1"/>
  <c r="C29" i="39"/>
  <c r="C40" i="39" s="1"/>
  <c r="C33" i="1"/>
  <c r="C33" i="39"/>
  <c r="D59" i="29"/>
  <c r="C74" i="29"/>
  <c r="D58" i="29"/>
  <c r="D73" i="29" s="1"/>
  <c r="C73" i="29"/>
  <c r="D57" i="29"/>
  <c r="C72" i="29"/>
  <c r="D53" i="29"/>
  <c r="C68" i="29"/>
  <c r="D60" i="29"/>
  <c r="D75" i="29" s="1"/>
  <c r="C75" i="29"/>
  <c r="D32" i="3"/>
  <c r="B17" i="1"/>
  <c r="D10" i="4"/>
  <c r="B14" i="1"/>
  <c r="C15" i="1"/>
  <c r="F4" i="4"/>
  <c r="G4" i="4" s="1"/>
  <c r="H4" i="4" s="1"/>
  <c r="E10" i="4"/>
  <c r="D14" i="39" s="1"/>
  <c r="F120" i="26"/>
  <c r="F125" i="26" s="1"/>
  <c r="B12" i="15"/>
  <c r="H120" i="26"/>
  <c r="H125" i="26" s="1"/>
  <c r="D12" i="15"/>
  <c r="F99" i="26"/>
  <c r="F101" i="26" s="1"/>
  <c r="C20" i="32"/>
  <c r="D61" i="29"/>
  <c r="D55" i="29"/>
  <c r="E10" i="5"/>
  <c r="D54" i="29"/>
  <c r="E7" i="5"/>
  <c r="F35" i="32"/>
  <c r="G42" i="5" s="1"/>
  <c r="C25" i="32"/>
  <c r="D37" i="5" s="1"/>
  <c r="E35" i="32"/>
  <c r="F42" i="5" s="1"/>
  <c r="D35" i="32"/>
  <c r="E42" i="5" s="1"/>
  <c r="D14" i="2"/>
  <c r="J83" i="26"/>
  <c r="H83" i="26"/>
  <c r="I83" i="26"/>
  <c r="G83" i="26"/>
  <c r="G11" i="26"/>
  <c r="I89" i="26"/>
  <c r="G89" i="26"/>
  <c r="H89" i="26"/>
  <c r="J84" i="26"/>
  <c r="J89" i="26" s="1"/>
  <c r="C35" i="1"/>
  <c r="E60" i="29"/>
  <c r="E13" i="5"/>
  <c r="E15" i="5"/>
  <c r="D99" i="26"/>
  <c r="G92" i="26"/>
  <c r="E34" i="5"/>
  <c r="G5" i="3"/>
  <c r="E14" i="2"/>
  <c r="F5" i="2"/>
  <c r="E32" i="3"/>
  <c r="J11" i="26"/>
  <c r="G29" i="39" s="1"/>
  <c r="I11" i="26"/>
  <c r="F29" i="39" s="1"/>
  <c r="E11" i="5"/>
  <c r="D56" i="29"/>
  <c r="D71" i="29" s="1"/>
  <c r="I91" i="26"/>
  <c r="H92" i="26"/>
  <c r="F20" i="3"/>
  <c r="G20" i="3" s="1"/>
  <c r="H20" i="3" s="1"/>
  <c r="E16" i="17"/>
  <c r="D24" i="17"/>
  <c r="F8" i="3"/>
  <c r="G8" i="3" s="1"/>
  <c r="H8" i="3" s="1"/>
  <c r="D14" i="3"/>
  <c r="D13" i="5"/>
  <c r="H11" i="26"/>
  <c r="E29" i="39" s="1"/>
  <c r="G97" i="26"/>
  <c r="H94" i="26"/>
  <c r="I94" i="26" s="1"/>
  <c r="J94" i="26" s="1"/>
  <c r="D48" i="5"/>
  <c r="E24" i="32"/>
  <c r="D25" i="32"/>
  <c r="E37" i="5" s="1"/>
  <c r="E20" i="32"/>
  <c r="F32" i="5" s="1"/>
  <c r="F19" i="32"/>
  <c r="D20" i="32"/>
  <c r="E32" i="5" s="1"/>
  <c r="G120" i="26"/>
  <c r="G125" i="26" s="1"/>
  <c r="I120" i="26"/>
  <c r="I125" i="26" s="1"/>
  <c r="E86" i="29"/>
  <c r="F15" i="5"/>
  <c r="D17" i="1" l="1"/>
  <c r="D17" i="39"/>
  <c r="C16" i="1"/>
  <c r="C16" i="39"/>
  <c r="D33" i="1"/>
  <c r="D33" i="39"/>
  <c r="D30" i="1"/>
  <c r="D35" i="1" s="1"/>
  <c r="D30" i="39"/>
  <c r="F32" i="1"/>
  <c r="F32" i="39"/>
  <c r="B40" i="39"/>
  <c r="B43" i="39" s="1"/>
  <c r="B52" i="39" s="1"/>
  <c r="E30" i="1"/>
  <c r="E30" i="39"/>
  <c r="C18" i="1"/>
  <c r="C18" i="39"/>
  <c r="C14" i="1"/>
  <c r="C14" i="39"/>
  <c r="D31" i="1"/>
  <c r="D31" i="39"/>
  <c r="E33" i="1"/>
  <c r="E33" i="39"/>
  <c r="D18" i="1"/>
  <c r="D18" i="39"/>
  <c r="F30" i="1"/>
  <c r="F30" i="39"/>
  <c r="E32" i="1"/>
  <c r="E32" i="39"/>
  <c r="C17" i="1"/>
  <c r="C17" i="39"/>
  <c r="G35" i="3"/>
  <c r="F24" i="4"/>
  <c r="D32" i="1"/>
  <c r="D32" i="39"/>
  <c r="C10" i="1"/>
  <c r="C10" i="39"/>
  <c r="G30" i="1"/>
  <c r="G30" i="39"/>
  <c r="D29" i="1"/>
  <c r="D29" i="39"/>
  <c r="G32" i="1"/>
  <c r="G32" i="39"/>
  <c r="D15" i="1"/>
  <c r="D15" i="39"/>
  <c r="H16" i="4"/>
  <c r="H24" i="4" s="1"/>
  <c r="G24" i="4"/>
  <c r="E53" i="29"/>
  <c r="F60" i="29"/>
  <c r="E55" i="29"/>
  <c r="D70" i="29"/>
  <c r="E58" i="29"/>
  <c r="D69" i="29"/>
  <c r="F7" i="5" s="1"/>
  <c r="D76" i="29"/>
  <c r="F13" i="5" s="1"/>
  <c r="E57" i="29"/>
  <c r="D72" i="29"/>
  <c r="E59" i="29"/>
  <c r="D74" i="29"/>
  <c r="E61" i="29"/>
  <c r="E54" i="29"/>
  <c r="B21" i="1"/>
  <c r="B26" i="1" s="1"/>
  <c r="B37" i="1" s="1"/>
  <c r="B46" i="1" s="1"/>
  <c r="D14" i="1"/>
  <c r="F10" i="4"/>
  <c r="E14" i="39" s="1"/>
  <c r="F127" i="26"/>
  <c r="F20" i="32"/>
  <c r="G32" i="5" s="1"/>
  <c r="G19" i="32"/>
  <c r="G20" i="32" s="1"/>
  <c r="H32" i="5" s="1"/>
  <c r="F10" i="5"/>
  <c r="E48" i="5"/>
  <c r="G99" i="26"/>
  <c r="G101" i="26" s="1"/>
  <c r="F14" i="3"/>
  <c r="H97" i="26"/>
  <c r="I92" i="26"/>
  <c r="J91" i="26"/>
  <c r="J92" i="26" s="1"/>
  <c r="E56" i="29"/>
  <c r="E71" i="29" s="1"/>
  <c r="F11" i="5"/>
  <c r="F29" i="1"/>
  <c r="F32" i="3"/>
  <c r="E17" i="39" s="1"/>
  <c r="E29" i="1"/>
  <c r="E24" i="17"/>
  <c r="F16" i="17"/>
  <c r="G29" i="1"/>
  <c r="G5" i="2"/>
  <c r="F14" i="2"/>
  <c r="E14" i="3"/>
  <c r="G14" i="3"/>
  <c r="H5" i="3"/>
  <c r="H14" i="3" s="1"/>
  <c r="E25" i="32"/>
  <c r="F24" i="32"/>
  <c r="G15" i="5"/>
  <c r="F86" i="29"/>
  <c r="H15" i="5" s="1"/>
  <c r="B67" i="39" l="1"/>
  <c r="B70" i="39" s="1"/>
  <c r="B63" i="39"/>
  <c r="B56" i="39"/>
  <c r="C54" i="39" s="1"/>
  <c r="F16" i="1"/>
  <c r="F16" i="39"/>
  <c r="D40" i="39"/>
  <c r="G33" i="1"/>
  <c r="G33" i="39"/>
  <c r="G15" i="39"/>
  <c r="G15" i="1"/>
  <c r="E18" i="1"/>
  <c r="E18" i="39"/>
  <c r="D10" i="1"/>
  <c r="D10" i="39"/>
  <c r="E31" i="1"/>
  <c r="E35" i="1" s="1"/>
  <c r="E31" i="39"/>
  <c r="E40" i="39" s="1"/>
  <c r="D16" i="1"/>
  <c r="D16" i="39"/>
  <c r="F33" i="1"/>
  <c r="F33" i="39"/>
  <c r="G16" i="1"/>
  <c r="G16" i="39"/>
  <c r="E16" i="1"/>
  <c r="E16" i="39"/>
  <c r="F15" i="39"/>
  <c r="F15" i="1"/>
  <c r="E15" i="39"/>
  <c r="E15" i="1"/>
  <c r="F61" i="29"/>
  <c r="E76" i="29"/>
  <c r="G13" i="5" s="1"/>
  <c r="F57" i="29"/>
  <c r="F59" i="29"/>
  <c r="F58" i="29"/>
  <c r="E69" i="29"/>
  <c r="G7" i="5" s="1"/>
  <c r="F55" i="29"/>
  <c r="F70" i="29" s="1"/>
  <c r="H10" i="5" s="1"/>
  <c r="E70" i="29"/>
  <c r="G10" i="5" s="1"/>
  <c r="F53" i="29"/>
  <c r="F54" i="29"/>
  <c r="B50" i="1"/>
  <c r="C48" i="1" s="1"/>
  <c r="B57" i="1"/>
  <c r="F37" i="5"/>
  <c r="F48" i="5" s="1"/>
  <c r="B61" i="1"/>
  <c r="B64" i="1" s="1"/>
  <c r="E14" i="1"/>
  <c r="G10" i="4"/>
  <c r="F14" i="39" s="1"/>
  <c r="F25" i="32"/>
  <c r="G24" i="32"/>
  <c r="G25" i="32" s="1"/>
  <c r="H37" i="5" s="1"/>
  <c r="G127" i="26"/>
  <c r="H99" i="26"/>
  <c r="G16" i="17"/>
  <c r="F24" i="17"/>
  <c r="E10" i="39" s="1"/>
  <c r="G14" i="2"/>
  <c r="H5" i="2"/>
  <c r="H14" i="2" s="1"/>
  <c r="G32" i="3"/>
  <c r="F17" i="39" s="1"/>
  <c r="E17" i="1"/>
  <c r="G11" i="5"/>
  <c r="F56" i="29"/>
  <c r="F71" i="29" s="1"/>
  <c r="J97" i="26"/>
  <c r="I97" i="26"/>
  <c r="F31" i="39" s="1"/>
  <c r="F40" i="39" s="1"/>
  <c r="G31" i="1" l="1"/>
  <c r="G35" i="1" s="1"/>
  <c r="G31" i="39"/>
  <c r="G40" i="39" s="1"/>
  <c r="G18" i="1"/>
  <c r="G18" i="39"/>
  <c r="F18" i="1"/>
  <c r="F18" i="39"/>
  <c r="F69" i="29"/>
  <c r="H7" i="5" s="1"/>
  <c r="F76" i="29"/>
  <c r="H13" i="5" s="1"/>
  <c r="H48" i="5"/>
  <c r="G37" i="5"/>
  <c r="G48" i="5" s="1"/>
  <c r="F14" i="1"/>
  <c r="H10" i="4"/>
  <c r="H101" i="26"/>
  <c r="H127" i="26"/>
  <c r="G24" i="17"/>
  <c r="H16" i="17"/>
  <c r="H24" i="17" s="1"/>
  <c r="F31" i="1"/>
  <c r="F35" i="1" s="1"/>
  <c r="I99" i="26"/>
  <c r="H11" i="5"/>
  <c r="H32" i="3"/>
  <c r="F17" i="1"/>
  <c r="J99" i="26"/>
  <c r="E10" i="1"/>
  <c r="F10" i="1" l="1"/>
  <c r="F10" i="39"/>
  <c r="G17" i="1"/>
  <c r="G17" i="39"/>
  <c r="G10" i="1"/>
  <c r="G10" i="39"/>
  <c r="G14" i="1"/>
  <c r="G14" i="39"/>
  <c r="I101" i="26"/>
  <c r="I127" i="26"/>
  <c r="J101" i="26"/>
  <c r="J127" i="26"/>
  <c r="C111" i="26" l="1"/>
  <c r="C115" i="26" s="1"/>
  <c r="E44" i="29"/>
  <c r="E45" i="29"/>
  <c r="D40" i="29"/>
  <c r="D68" i="29" s="1"/>
  <c r="E73" i="29" l="1"/>
  <c r="F45" i="29"/>
  <c r="F73" i="29" s="1"/>
  <c r="E72" i="29"/>
  <c r="F44" i="29"/>
  <c r="F72" i="29" s="1"/>
  <c r="D9" i="5"/>
  <c r="E46" i="29"/>
  <c r="E40" i="29"/>
  <c r="F40" i="29" s="1"/>
  <c r="D8" i="5"/>
  <c r="E8" i="5"/>
  <c r="E47" i="29"/>
  <c r="E75" i="29" l="1"/>
  <c r="F47" i="29"/>
  <c r="E74" i="29"/>
  <c r="F46" i="29"/>
  <c r="F74" i="29" s="1"/>
  <c r="F68" i="29"/>
  <c r="E68" i="29"/>
  <c r="G8" i="5" s="1"/>
  <c r="F8" i="5"/>
  <c r="H8" i="5"/>
  <c r="E9" i="5"/>
  <c r="F75" i="29"/>
  <c r="F9" i="5"/>
  <c r="H9" i="5" l="1"/>
  <c r="G9" i="5" l="1"/>
  <c r="C89" i="29"/>
  <c r="E38" i="29"/>
  <c r="F38" i="29" s="1"/>
  <c r="F67" i="29" l="1"/>
  <c r="E67" i="29"/>
  <c r="B89" i="29"/>
  <c r="D9" i="17"/>
  <c r="E5" i="5"/>
  <c r="E89" i="29" l="1"/>
  <c r="G5" i="5"/>
  <c r="E21" i="5"/>
  <c r="E50" i="5" s="1"/>
  <c r="E9" i="17"/>
  <c r="E12" i="17" s="1"/>
  <c r="D9" i="39" s="1"/>
  <c r="D21" i="5"/>
  <c r="D50" i="5" s="1"/>
  <c r="D12" i="17"/>
  <c r="C9" i="39" s="1"/>
  <c r="H5" i="5"/>
  <c r="F89" i="29"/>
  <c r="F5" i="5"/>
  <c r="D89" i="29"/>
  <c r="D8" i="1" l="1"/>
  <c r="D8" i="39"/>
  <c r="D12" i="39" s="1"/>
  <c r="D21" i="39" s="1"/>
  <c r="D26" i="39" s="1"/>
  <c r="D43" i="39" s="1"/>
  <c r="D52" i="39" s="1"/>
  <c r="C8" i="1"/>
  <c r="C8" i="39"/>
  <c r="C12" i="39" s="1"/>
  <c r="C21" i="39" s="1"/>
  <c r="C26" i="39" s="1"/>
  <c r="C43" i="39" s="1"/>
  <c r="C52" i="39" s="1"/>
  <c r="F9" i="17"/>
  <c r="F12" i="17" s="1"/>
  <c r="E9" i="39" s="1"/>
  <c r="F21" i="5"/>
  <c r="F50" i="5" s="1"/>
  <c r="H9" i="17"/>
  <c r="H12" i="17" s="1"/>
  <c r="G9" i="39" s="1"/>
  <c r="H21" i="5"/>
  <c r="H50" i="5" s="1"/>
  <c r="C9" i="1"/>
  <c r="D27" i="17"/>
  <c r="D31" i="17" s="1"/>
  <c r="D9" i="1"/>
  <c r="D12" i="1" s="1"/>
  <c r="D21" i="1" s="1"/>
  <c r="D26" i="1" s="1"/>
  <c r="D37" i="1" s="1"/>
  <c r="D46" i="1" s="1"/>
  <c r="D61" i="1" s="1"/>
  <c r="E27" i="17"/>
  <c r="E31" i="17" s="1"/>
  <c r="G9" i="17"/>
  <c r="G12" i="17" s="1"/>
  <c r="F9" i="39" s="1"/>
  <c r="G21" i="5"/>
  <c r="G50" i="5" s="1"/>
  <c r="G8" i="1" l="1"/>
  <c r="G8" i="39"/>
  <c r="G12" i="39" s="1"/>
  <c r="G21" i="39" s="1"/>
  <c r="G26" i="39" s="1"/>
  <c r="G43" i="39" s="1"/>
  <c r="G52" i="39" s="1"/>
  <c r="F8" i="1"/>
  <c r="F8" i="39"/>
  <c r="F12" i="39" s="1"/>
  <c r="F21" i="39" s="1"/>
  <c r="F26" i="39" s="1"/>
  <c r="F43" i="39" s="1"/>
  <c r="F52" i="39" s="1"/>
  <c r="E8" i="1"/>
  <c r="E8" i="39"/>
  <c r="E12" i="39" s="1"/>
  <c r="E21" i="39" s="1"/>
  <c r="E26" i="39" s="1"/>
  <c r="E43" i="39" s="1"/>
  <c r="E52" i="39" s="1"/>
  <c r="D67" i="39"/>
  <c r="D63" i="39"/>
  <c r="C63" i="39"/>
  <c r="C67" i="39"/>
  <c r="C56" i="39"/>
  <c r="D54" i="39" s="1"/>
  <c r="D56" i="39" s="1"/>
  <c r="E54" i="39" s="1"/>
  <c r="C12" i="1"/>
  <c r="C21" i="1" s="1"/>
  <c r="C26" i="1" s="1"/>
  <c r="C37" i="1" s="1"/>
  <c r="C46" i="1" s="1"/>
  <c r="C61" i="1" s="1"/>
  <c r="D57" i="1"/>
  <c r="F9" i="1"/>
  <c r="F12" i="1" s="1"/>
  <c r="F21" i="1" s="1"/>
  <c r="F26" i="1" s="1"/>
  <c r="F37" i="1" s="1"/>
  <c r="F46" i="1" s="1"/>
  <c r="F61" i="1" s="1"/>
  <c r="G27" i="17"/>
  <c r="G31" i="17" s="1"/>
  <c r="H27" i="17"/>
  <c r="H31" i="17" s="1"/>
  <c r="G9" i="1"/>
  <c r="G12" i="1" s="1"/>
  <c r="G21" i="1" s="1"/>
  <c r="G26" i="1" s="1"/>
  <c r="G37" i="1" s="1"/>
  <c r="G46" i="1" s="1"/>
  <c r="G61" i="1" s="1"/>
  <c r="E9" i="1"/>
  <c r="E12" i="1" s="1"/>
  <c r="E21" i="1" s="1"/>
  <c r="E26" i="1" s="1"/>
  <c r="E37" i="1" s="1"/>
  <c r="E46" i="1" s="1"/>
  <c r="E61" i="1" s="1"/>
  <c r="F27" i="17"/>
  <c r="F31" i="17" s="1"/>
  <c r="C57" i="1" l="1"/>
  <c r="E56" i="39"/>
  <c r="F54" i="39" s="1"/>
  <c r="F56" i="39" s="1"/>
  <c r="G54" i="39" s="1"/>
  <c r="G56" i="39" s="1"/>
  <c r="C50" i="1"/>
  <c r="D48" i="1" s="1"/>
  <c r="D50" i="1" s="1"/>
  <c r="E48" i="1" s="1"/>
  <c r="G67" i="39"/>
  <c r="G63" i="39"/>
  <c r="F63" i="39"/>
  <c r="F67" i="39"/>
  <c r="E67" i="39"/>
  <c r="E63" i="39"/>
  <c r="G57" i="1"/>
  <c r="E57" i="1"/>
  <c r="E50" i="1"/>
  <c r="F48" i="1" s="1"/>
  <c r="F50" i="1" s="1"/>
  <c r="G48" i="1" s="1"/>
  <c r="G50" i="1" s="1"/>
  <c r="F57" i="1"/>
</calcChain>
</file>

<file path=xl/comments1.xml><?xml version="1.0" encoding="utf-8"?>
<comments xmlns="http://schemas.openxmlformats.org/spreadsheetml/2006/main">
  <authors>
    <author>bascoj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bascoj:</t>
        </r>
        <r>
          <rPr>
            <sz val="9"/>
            <color indexed="81"/>
            <rFont val="Tahoma"/>
            <family val="2"/>
          </rPr>
          <t xml:space="preserve">
Assume this as Discount Rate
</t>
        </r>
      </text>
    </comment>
  </commentList>
</comments>
</file>

<file path=xl/sharedStrings.xml><?xml version="1.0" encoding="utf-8"?>
<sst xmlns="http://schemas.openxmlformats.org/spreadsheetml/2006/main" count="907" uniqueCount="469">
  <si>
    <t>Buildings</t>
  </si>
  <si>
    <t>Furniture &amp; Equipment</t>
  </si>
  <si>
    <t>Computers</t>
  </si>
  <si>
    <t>Benefits</t>
  </si>
  <si>
    <t xml:space="preserve">  1-050-020-42010 SPS Tuition Discounts</t>
  </si>
  <si>
    <t xml:space="preserve">  1-050-020-41010 SPS Fees Late</t>
  </si>
  <si>
    <t xml:space="preserve">  1-050-030-41010 EDU Fees Late</t>
  </si>
  <si>
    <t xml:space="preserve">  1-050-010-41040 CAS Fees Lab</t>
  </si>
  <si>
    <t xml:space="preserve">  1-050-020-41040 SPS Fees Lab</t>
  </si>
  <si>
    <t xml:space="preserve">  1-050-010-41060 CAS Fees Music</t>
  </si>
  <si>
    <t xml:space="preserve">  1-050-030-41000 EDU Fees Application</t>
  </si>
  <si>
    <t>A/C Code</t>
  </si>
  <si>
    <t>Description</t>
  </si>
  <si>
    <t>Other Income</t>
  </si>
  <si>
    <t>Admin Salary</t>
  </si>
  <si>
    <t>Faculty Salary</t>
  </si>
  <si>
    <t>Adjunct Salary</t>
  </si>
  <si>
    <t>Student Salary</t>
  </si>
  <si>
    <t>Stipends Faculty</t>
  </si>
  <si>
    <t>Stipends Students</t>
  </si>
  <si>
    <t>FICA</t>
  </si>
  <si>
    <t>Retirement Expense</t>
  </si>
  <si>
    <t>Health/Life Insurance</t>
  </si>
  <si>
    <t>SND Benefits</t>
  </si>
  <si>
    <t>Software</t>
  </si>
  <si>
    <t>Hardware</t>
  </si>
  <si>
    <t>Furniture</t>
  </si>
  <si>
    <t>Office Equipment</t>
  </si>
  <si>
    <t>Professional/Management Fees</t>
  </si>
  <si>
    <t>Postage/Delivery</t>
  </si>
  <si>
    <t>Telephone</t>
  </si>
  <si>
    <t>Print/Copy</t>
  </si>
  <si>
    <t>Office Supplies</t>
  </si>
  <si>
    <t>Books/Subscriptions</t>
  </si>
  <si>
    <t>Miscellaneous</t>
  </si>
  <si>
    <t>Travel</t>
  </si>
  <si>
    <t>Dues</t>
  </si>
  <si>
    <t>Conferences</t>
  </si>
  <si>
    <t>Program Supplies</t>
  </si>
  <si>
    <t>Entertainment</t>
  </si>
  <si>
    <t>Employee Tuition Remission</t>
  </si>
  <si>
    <t>Food Expenses</t>
  </si>
  <si>
    <t>Awards</t>
  </si>
  <si>
    <t>Advertising/Marketing</t>
  </si>
  <si>
    <t>Program Services</t>
  </si>
  <si>
    <t>Special Programs</t>
  </si>
  <si>
    <t>Reunion Expenses</t>
  </si>
  <si>
    <t>Book Fines</t>
  </si>
  <si>
    <t>Data Processing</t>
  </si>
  <si>
    <t>Bad Debt Expense</t>
  </si>
  <si>
    <t>Unemployment</t>
  </si>
  <si>
    <t>Legal Expense</t>
  </si>
  <si>
    <t>Audit Fees</t>
  </si>
  <si>
    <t>Commencement</t>
  </si>
  <si>
    <t>Resident Asst Room Benefits</t>
  </si>
  <si>
    <t>Late Fees/Fines</t>
  </si>
  <si>
    <t>Licenses</t>
  </si>
  <si>
    <t>Operating Leases</t>
  </si>
  <si>
    <t>Insurance</t>
  </si>
  <si>
    <t>Equipment</t>
  </si>
  <si>
    <t>Equipment Repair &amp; Maint.</t>
  </si>
  <si>
    <t>Insured Repair &amp; Maint.</t>
  </si>
  <si>
    <t>Boilers</t>
  </si>
  <si>
    <t>Maintenance Contracts</t>
  </si>
  <si>
    <t>Other Repair &amp; Maintenance</t>
  </si>
  <si>
    <t>Internet Expenses</t>
  </si>
  <si>
    <t>Maintenance Supplies</t>
  </si>
  <si>
    <t>Landscaping</t>
  </si>
  <si>
    <t>Electricity</t>
  </si>
  <si>
    <t>Oil &amp; Gasoline</t>
  </si>
  <si>
    <t>Water</t>
  </si>
  <si>
    <t>Other Utilities</t>
  </si>
  <si>
    <t>Rent Expense</t>
  </si>
  <si>
    <t>Uniforms</t>
  </si>
  <si>
    <t>Auto/Truck Repairs</t>
  </si>
  <si>
    <t>CAS Athletics Officials</t>
  </si>
  <si>
    <t>Gen Inst Shuttle Bus</t>
  </si>
  <si>
    <t>Food Service</t>
  </si>
  <si>
    <t>Linens</t>
  </si>
  <si>
    <t>Facility Rental Supplies</t>
  </si>
  <si>
    <t>Totals</t>
  </si>
  <si>
    <t>% increase</t>
  </si>
  <si>
    <t>Factors</t>
  </si>
  <si>
    <t>Debt Srvc Interest Expense Bonds</t>
  </si>
  <si>
    <t>Total expenses per audited FS</t>
  </si>
  <si>
    <t>Difference</t>
  </si>
  <si>
    <t>Remaining differences</t>
  </si>
  <si>
    <t>Add Depreciation Expense</t>
  </si>
  <si>
    <t>Salaries</t>
  </si>
  <si>
    <t>Utilities</t>
  </si>
  <si>
    <t>Operating Expenses</t>
  </si>
  <si>
    <t>Depreciation Expense</t>
  </si>
  <si>
    <t>Total non-operating</t>
  </si>
  <si>
    <t>Grand Total</t>
  </si>
  <si>
    <t>BASE YEAR</t>
  </si>
  <si>
    <t>Forecast Yr 1</t>
  </si>
  <si>
    <t>Forecast Yr 2</t>
  </si>
  <si>
    <t>Forecast Yr 3</t>
  </si>
  <si>
    <t>Forecast Yr 4</t>
  </si>
  <si>
    <t>Forecast Yr 5</t>
  </si>
  <si>
    <t>Historical and New Principal &amp; Interest</t>
  </si>
  <si>
    <t xml:space="preserve">Historical Principal </t>
  </si>
  <si>
    <t>Interest Payments</t>
  </si>
  <si>
    <t>Assumptions:</t>
  </si>
  <si>
    <t>Year 1</t>
  </si>
  <si>
    <t>Year 2</t>
  </si>
  <si>
    <t>Year 3</t>
  </si>
  <si>
    <t>Year 4</t>
  </si>
  <si>
    <t>Year 5</t>
  </si>
  <si>
    <t xml:space="preserve">Forecast </t>
  </si>
  <si>
    <t>Factor</t>
  </si>
  <si>
    <t>Tuition Rates</t>
  </si>
  <si>
    <t>Number of credits per semester</t>
  </si>
  <si>
    <t>Fees</t>
  </si>
  <si>
    <t>Total Fee Revenue</t>
  </si>
  <si>
    <t>Total Tuition &amp; Fee Revenue</t>
  </si>
  <si>
    <t>Base Year</t>
  </si>
  <si>
    <t>Statement of Changes in Unrestricted Net Assets</t>
  </si>
  <si>
    <t>Tuition &amp; Fees</t>
  </si>
  <si>
    <t>College Funded Student Aid</t>
  </si>
  <si>
    <t>Student Aid</t>
  </si>
  <si>
    <t>-</t>
  </si>
  <si>
    <t xml:space="preserve">         Net Tuition and fees</t>
  </si>
  <si>
    <t>Gifts &amp; Private Grants</t>
  </si>
  <si>
    <t>Auxiliary Enterprises Revenue</t>
  </si>
  <si>
    <t>Trinity Center Revenue</t>
  </si>
  <si>
    <t>Other Revenue</t>
  </si>
  <si>
    <t xml:space="preserve">         Total Operating Revenue</t>
  </si>
  <si>
    <t>Expenses</t>
  </si>
  <si>
    <t xml:space="preserve">      Total expenses</t>
  </si>
  <si>
    <t>Change in unrestricted net assets from operating activities</t>
  </si>
  <si>
    <t>Non-Operating activities</t>
  </si>
  <si>
    <t xml:space="preserve">   Change in unrestricted net assets</t>
  </si>
  <si>
    <t>Net assets as of June 30</t>
  </si>
  <si>
    <t>=</t>
  </si>
  <si>
    <t xml:space="preserve">  1-050-000-46000 Revenue Parking</t>
  </si>
  <si>
    <t xml:space="preserve">  1-050-010-40000 CAS Tuition UG</t>
  </si>
  <si>
    <t xml:space="preserve">  1-050-010-41010 CAS Fees Late</t>
  </si>
  <si>
    <t xml:space="preserve">  1-050-010-41030 CAS Fees Student Activity</t>
  </si>
  <si>
    <t xml:space="preserve">  1-050-020-40000 SPS Tuition UG</t>
  </si>
  <si>
    <t xml:space="preserve">  1-050-020-40010 SPS Tuition GRAD</t>
  </si>
  <si>
    <t xml:space="preserve">  1-050-030-40010 EDU Tuition GRAD</t>
  </si>
  <si>
    <t xml:space="preserve">  1-050-030-40040 EDU Tuition Workshops</t>
  </si>
  <si>
    <t xml:space="preserve">  1-050-010-40060 CAS Tuition Consortium</t>
  </si>
  <si>
    <t xml:space="preserve">  1-050-010-42000 CAS Student Aid Unrest Scholarships</t>
  </si>
  <si>
    <t xml:space="preserve">  1-050-030-42010 EDU Tuition Discounts</t>
  </si>
  <si>
    <t xml:space="preserve">Student Aid: </t>
  </si>
  <si>
    <t xml:space="preserve">  2-750-050-95020 Student Aid Patterson Scholarship</t>
  </si>
  <si>
    <t xml:space="preserve">  2-750-050-95025 Student Aid Endowed Scholarships</t>
  </si>
  <si>
    <t xml:space="preserve">  2-750-050-95030 Student Aid End Schol ANTO</t>
  </si>
  <si>
    <t xml:space="preserve">  2-750-050-95040 Student Aid Schol Other</t>
  </si>
  <si>
    <t xml:space="preserve">   Total Student Aid</t>
  </si>
  <si>
    <t xml:space="preserve">Government Grants &amp; Contracts: </t>
  </si>
  <si>
    <t xml:space="preserve">  1-050-040-43010 Assets Released from Rstrctn Gov Gr</t>
  </si>
  <si>
    <t xml:space="preserve">  1-050-040-50000 Indirect Costs Revenue Gov  Grants</t>
  </si>
  <si>
    <t xml:space="preserve">   Total Government Grants &amp; Contracts</t>
  </si>
  <si>
    <t xml:space="preserve">Gifts &amp; Private Grants: </t>
  </si>
  <si>
    <t xml:space="preserve">  1-050-050-51000 Annual Giving</t>
  </si>
  <si>
    <t xml:space="preserve">  1-050-050-51020 Bequests</t>
  </si>
  <si>
    <t xml:space="preserve">  1-050-050-51030 Indirect Costs Revenue Private Grants</t>
  </si>
  <si>
    <t xml:space="preserve">  1-050-050-51040 Other Income Private Grant</t>
  </si>
  <si>
    <t xml:space="preserve">  1-050-050-51010 Capital Campaign</t>
  </si>
  <si>
    <t xml:space="preserve">   Total Gifts &amp; Private Grants</t>
  </si>
  <si>
    <t xml:space="preserve">Auxiliary Enterprises Revenue: </t>
  </si>
  <si>
    <t xml:space="preserve">  1-050-010-56060 CAS Student Room Revenue</t>
  </si>
  <si>
    <t xml:space="preserve">  1-050-010-56062 CAS Student Single Room Income</t>
  </si>
  <si>
    <t xml:space="preserve">  1-050-060-56000 Facilities Rental</t>
  </si>
  <si>
    <t xml:space="preserve">  1-050-060-56010 Chapel Rental</t>
  </si>
  <si>
    <t xml:space="preserve">  1-050-060-56040 Conference Revenue</t>
  </si>
  <si>
    <t xml:space="preserve">  1-050-010-56030 CAS Student Meals</t>
  </si>
  <si>
    <t xml:space="preserve">   Total Auxiliary Enterprises Revenue</t>
  </si>
  <si>
    <t xml:space="preserve">Trinity Center Revenue: </t>
  </si>
  <si>
    <t xml:space="preserve">  1-050-060-57000 TCWGS Membership Revenue</t>
  </si>
  <si>
    <t xml:space="preserve">  1-050-060-57020 TCWGS Pool Rental</t>
  </si>
  <si>
    <t xml:space="preserve">  1-050-060-57030 TCWGS Soccer Field</t>
  </si>
  <si>
    <t xml:space="preserve">  1-050-060-57040 TCWGS BB CT Rental</t>
  </si>
  <si>
    <t xml:space="preserve">  1-050-060-57050 TCWGS Tennis CT Rental</t>
  </si>
  <si>
    <t xml:space="preserve">  1-050-060-57060 TCWGS Special Event Rental</t>
  </si>
  <si>
    <t xml:space="preserve">  1-050-060-57070 TCWGS Product Sales</t>
  </si>
  <si>
    <t xml:space="preserve">  1-050-060-57075 TCWGS Fitness Facility Rental</t>
  </si>
  <si>
    <t xml:space="preserve">  1-050-060-57010 TCWGS Class Revenue</t>
  </si>
  <si>
    <t xml:space="preserve">   Total Trinity Center Revenue</t>
  </si>
  <si>
    <t xml:space="preserve">Other Revenue: </t>
  </si>
  <si>
    <t xml:space="preserve">  1-050-000-46005 Revenue Other</t>
  </si>
  <si>
    <t xml:space="preserve">  1-050-000-46010 Insurance Recovery Receipts</t>
  </si>
  <si>
    <t xml:space="preserve">   Total Other Revenue</t>
  </si>
  <si>
    <t>CAS</t>
  </si>
  <si>
    <t>EDU</t>
  </si>
  <si>
    <t>Trinity University Financial Planning Model</t>
  </si>
  <si>
    <t>Land Improvements</t>
  </si>
  <si>
    <t>1-000-000-17005</t>
  </si>
  <si>
    <t>1-000-000-17010</t>
  </si>
  <si>
    <t>1-000-000-17050</t>
  </si>
  <si>
    <t>1-000-000-17060</t>
  </si>
  <si>
    <t>1-000-000-17100</t>
  </si>
  <si>
    <t>Amortization of Bond Issuance Costs</t>
  </si>
  <si>
    <t>Bond Issuance Amortization</t>
  </si>
  <si>
    <t>Government Grants &amp; Contracts (offsets student aid)</t>
  </si>
  <si>
    <t xml:space="preserve">Tuition (Fall, Spring and Summer): </t>
  </si>
  <si>
    <t xml:space="preserve">  1-050-000-46002 Revenue Application Fees</t>
  </si>
  <si>
    <t>1-050-050-51005 Internally Designated Gift Revenue</t>
  </si>
  <si>
    <t>Assessment Materials</t>
  </si>
  <si>
    <t>Recruitment</t>
  </si>
  <si>
    <t>Books and Continuations</t>
  </si>
  <si>
    <t>Journals and Newspapers</t>
  </si>
  <si>
    <t>E-Books</t>
  </si>
  <si>
    <t>E-Journals and Newspapers</t>
  </si>
  <si>
    <t>Videos</t>
  </si>
  <si>
    <t>DVDs</t>
  </si>
  <si>
    <t>Databases</t>
  </si>
  <si>
    <t>Memberships</t>
  </si>
  <si>
    <t>Legal Settlements</t>
  </si>
  <si>
    <t>CAS Athletics Entry Fees</t>
  </si>
  <si>
    <t>Improvements*/Kerby Wiring</t>
  </si>
  <si>
    <t>2nd &amp; 3rd Floor Wiring</t>
  </si>
  <si>
    <t>IT Servers Project</t>
  </si>
  <si>
    <t>Moodle Software</t>
  </si>
  <si>
    <t>Power Campus Technology</t>
  </si>
  <si>
    <t>Total PP&amp;E</t>
  </si>
  <si>
    <t>1-000-000-17030*/40</t>
  </si>
  <si>
    <t>1-000-000-17045</t>
  </si>
  <si>
    <t>1-000-000-17160</t>
  </si>
  <si>
    <t>1-000-000-17170</t>
  </si>
  <si>
    <t>TOTAL</t>
  </si>
  <si>
    <t>Accretion Expense</t>
  </si>
  <si>
    <t>Add Accretion Expense</t>
  </si>
  <si>
    <t>Add Interest Expense</t>
  </si>
  <si>
    <t>Add Bond Discount Amortization</t>
  </si>
  <si>
    <t>Add Bond Issuance Amortization</t>
  </si>
  <si>
    <t>Orientation</t>
  </si>
  <si>
    <t>Boiler and Chiller Repairs</t>
  </si>
  <si>
    <t>Concept Design</t>
  </si>
  <si>
    <t>New Supplies</t>
  </si>
  <si>
    <t>Vendor Contracts</t>
  </si>
  <si>
    <t>Non-Operating Expenses:</t>
  </si>
  <si>
    <t>Trinity College</t>
  </si>
  <si>
    <t>Accretion</t>
  </si>
  <si>
    <t>7/1</t>
  </si>
  <si>
    <t xml:space="preserve">6/30 </t>
  </si>
  <si>
    <t xml:space="preserve">Liability </t>
  </si>
  <si>
    <t>Per Schedule</t>
  </si>
  <si>
    <t>Assume that we have a 3.06% Interest Rate Swap</t>
  </si>
  <si>
    <t>Asset Retirement Obligation (Per Audit Schedule)</t>
  </si>
  <si>
    <t>assume elevator of $1 Million in FY 2011</t>
  </si>
  <si>
    <t xml:space="preserve">         Total revenue, gains and other</t>
  </si>
  <si>
    <t xml:space="preserve">  1-050-010-40040 CAS Tuition College Success Foundation</t>
  </si>
  <si>
    <t xml:space="preserve">  1-050-020-40001 SPS Tuition Associate Degree</t>
  </si>
  <si>
    <t xml:space="preserve">  1-050-020-40002 SPS Bachelor Sci Nursing</t>
  </si>
  <si>
    <t xml:space="preserve">  1-050-020-40011 SPS Tuition MBA</t>
  </si>
  <si>
    <t xml:space="preserve">  1-050-020-40030 SPS Non-Degree</t>
  </si>
  <si>
    <t xml:space="preserve">  1-050-020-41070 SPS Fees Transcripted Programs</t>
  </si>
  <si>
    <t xml:space="preserve">  1-050-020-41071 SPS Fees BSN Transcripted Program</t>
  </si>
  <si>
    <t xml:space="preserve">  1-050-030-40030 EDU Tuition Non-Degree</t>
  </si>
  <si>
    <t xml:space="preserve">College Funded Scholarships: </t>
  </si>
  <si>
    <t xml:space="preserve">   Total College Funded Scholarships</t>
  </si>
  <si>
    <t xml:space="preserve">  2-750-040-95060 Federal Grant - SEOG</t>
  </si>
  <si>
    <t xml:space="preserve">  1-050-010-56061 CAS Room Change Income</t>
  </si>
  <si>
    <t xml:space="preserve">  1-050-060-57080 TCWGS Locker Rentals</t>
  </si>
  <si>
    <t xml:space="preserve">  1-050-060-46005 TCWGS - Other Revenue</t>
  </si>
  <si>
    <t xml:space="preserve">  1-470-010-58010 CAS Health Srvcs Other Revenue</t>
  </si>
  <si>
    <t xml:space="preserve">  1-050-000-46006 Revenue - Commissions</t>
  </si>
  <si>
    <t>SPS AA</t>
  </si>
  <si>
    <t>SPS UG</t>
  </si>
  <si>
    <t>NHP NRS</t>
  </si>
  <si>
    <t>SPS GR</t>
  </si>
  <si>
    <t>SPS MBA</t>
  </si>
  <si>
    <t>NHP OTA</t>
  </si>
  <si>
    <t>NHP OTM</t>
  </si>
  <si>
    <t>NHP RNMSN</t>
  </si>
  <si>
    <t>Tuition Revenue - Fall and Spring</t>
  </si>
  <si>
    <t>Tuition Revenue - Summer</t>
  </si>
  <si>
    <t>Tuition Revenue - Workshops</t>
  </si>
  <si>
    <t>SUMMER/WINTER/MAY TUITION</t>
  </si>
  <si>
    <t xml:space="preserve">  1-050-010-41000 CAS Fees Enrollment Fees</t>
  </si>
  <si>
    <t xml:space="preserve">  1-050-020-41000 SPS Fees Enrollment Fees</t>
  </si>
  <si>
    <t>Elevator Renovation</t>
  </si>
  <si>
    <t>Accreditation Fees</t>
  </si>
  <si>
    <t>Contigency Funds</t>
  </si>
  <si>
    <t>Other Materials</t>
  </si>
  <si>
    <t>Binding</t>
  </si>
  <si>
    <t>Immaterial Difference</t>
  </si>
  <si>
    <t xml:space="preserve">  1-050-070-40000 NHP Tuition UG</t>
  </si>
  <si>
    <t xml:space="preserve">  1-050-070-40002 NHP Tuition UG (BSN)</t>
  </si>
  <si>
    <t xml:space="preserve">  1-050-070-41040 NHP Fees</t>
  </si>
  <si>
    <t xml:space="preserve">  1-050-035-40050 EDU Workshops</t>
  </si>
  <si>
    <t xml:space="preserve">  1-050-030-41070 EDU Fees Transcripted Programs</t>
  </si>
  <si>
    <t xml:space="preserve">  2-750-040-95070 State Scholarships</t>
  </si>
  <si>
    <t>Operating Investment Income</t>
  </si>
  <si>
    <t>1-050-050-51025 Internally Designated Gifts Academic Center</t>
  </si>
  <si>
    <t>For the Year Ended</t>
  </si>
  <si>
    <t>Fall 2016</t>
  </si>
  <si>
    <t>Spring 2017</t>
  </si>
  <si>
    <t>Fall 15</t>
  </si>
  <si>
    <t>Spring 16</t>
  </si>
  <si>
    <t>Fall 16</t>
  </si>
  <si>
    <t>Spring 17</t>
  </si>
  <si>
    <t>CAS Enrollment Fee</t>
  </si>
  <si>
    <t>FY16</t>
  </si>
  <si>
    <t>FY17</t>
  </si>
  <si>
    <t>Increase</t>
  </si>
  <si>
    <t># Students</t>
  </si>
  <si>
    <t>Fee</t>
  </si>
  <si>
    <t>Total</t>
  </si>
  <si>
    <t>SPS Enrollment Fee</t>
  </si>
  <si>
    <t>EDU Enrollment Fee</t>
  </si>
  <si>
    <t>NHP Fee</t>
  </si>
  <si>
    <t>General expenses -- 2-3%</t>
  </si>
  <si>
    <t>Utilities -- 7-8%</t>
  </si>
  <si>
    <t>Salary increase -- 2.5-3.0%</t>
  </si>
  <si>
    <t>Benefits -- Healthcare -- 10-12% , All other benefits 3%</t>
  </si>
  <si>
    <t>PAYMENT OF BOND PRINCIPAL</t>
  </si>
  <si>
    <t>Face Value of Bonds:</t>
  </si>
  <si>
    <t>(Value at 6/30/05)</t>
  </si>
  <si>
    <t>First Payment Due:</t>
  </si>
  <si>
    <t>Final Maturity:</t>
  </si>
  <si>
    <t>Wachovia Bond Principal Account #</t>
  </si>
  <si>
    <t>1-000-000-10165</t>
  </si>
  <si>
    <t>Date</t>
  </si>
  <si>
    <t>Amount Due</t>
  </si>
  <si>
    <t>Bond Principal Amount After Payment</t>
  </si>
  <si>
    <t>Account</t>
  </si>
  <si>
    <t>As of DEC12</t>
  </si>
  <si>
    <t>Prorated FY</t>
  </si>
  <si>
    <t>70100</t>
  </si>
  <si>
    <t>70110</t>
  </si>
  <si>
    <t>70130</t>
  </si>
  <si>
    <t>70140</t>
  </si>
  <si>
    <t>70146</t>
  </si>
  <si>
    <t>70150</t>
  </si>
  <si>
    <t>70160</t>
  </si>
  <si>
    <t>70190</t>
  </si>
  <si>
    <t>70320</t>
  </si>
  <si>
    <t>70330</t>
  </si>
  <si>
    <t>70350</t>
  </si>
  <si>
    <t>70360</t>
  </si>
  <si>
    <t>71200</t>
  </si>
  <si>
    <t>71210</t>
  </si>
  <si>
    <t>71220</t>
  </si>
  <si>
    <t>71230</t>
  </si>
  <si>
    <t>71240</t>
  </si>
  <si>
    <t>71245</t>
  </si>
  <si>
    <t>71250</t>
  </si>
  <si>
    <t>71260</t>
  </si>
  <si>
    <t>71265</t>
  </si>
  <si>
    <t>71270</t>
  </si>
  <si>
    <t>71280</t>
  </si>
  <si>
    <t>71290</t>
  </si>
  <si>
    <t>71300</t>
  </si>
  <si>
    <t>71310</t>
  </si>
  <si>
    <t>71320</t>
  </si>
  <si>
    <t>71350</t>
  </si>
  <si>
    <t>71390</t>
  </si>
  <si>
    <t>71395</t>
  </si>
  <si>
    <t>72021</t>
  </si>
  <si>
    <t>72022</t>
  </si>
  <si>
    <t>72026</t>
  </si>
  <si>
    <t>73001</t>
  </si>
  <si>
    <t>73002</t>
  </si>
  <si>
    <t>73005</t>
  </si>
  <si>
    <t>73035</t>
  </si>
  <si>
    <t>73050</t>
  </si>
  <si>
    <t>73055</t>
  </si>
  <si>
    <t>79010</t>
  </si>
  <si>
    <t>79100</t>
  </si>
  <si>
    <t>79210</t>
  </si>
  <si>
    <t>79211</t>
  </si>
  <si>
    <t>79212</t>
  </si>
  <si>
    <t>81000</t>
  </si>
  <si>
    <t>83000</t>
  </si>
  <si>
    <t>84025</t>
  </si>
  <si>
    <t>84040</t>
  </si>
  <si>
    <t>84061</t>
  </si>
  <si>
    <t>84075</t>
  </si>
  <si>
    <t>84110</t>
  </si>
  <si>
    <t>84115</t>
  </si>
  <si>
    <t>84130</t>
  </si>
  <si>
    <t>84140</t>
  </si>
  <si>
    <t>85000</t>
  </si>
  <si>
    <t>85010</t>
  </si>
  <si>
    <t>85040</t>
  </si>
  <si>
    <t>85045</t>
  </si>
  <si>
    <t>85050</t>
  </si>
  <si>
    <t>86000</t>
  </si>
  <si>
    <t>86015</t>
  </si>
  <si>
    <t>86020</t>
  </si>
  <si>
    <t>86030</t>
  </si>
  <si>
    <t>86035</t>
  </si>
  <si>
    <t>87100</t>
  </si>
  <si>
    <t>Tuition Revenue - Winter/May</t>
  </si>
  <si>
    <t>Contigency Funds (Capital/Facilities)</t>
  </si>
  <si>
    <t>Contigency Funds (Temporary Positions)</t>
  </si>
  <si>
    <t>Net assets current year (Note -- differs from F/S due to exclusion of interest expense from model)</t>
  </si>
  <si>
    <t>Net Assets Released From Restriction (0% annual increase from budget)</t>
  </si>
  <si>
    <t>Fall 2017</t>
  </si>
  <si>
    <t>Spring 2018</t>
  </si>
  <si>
    <t>Net Assets Released from Restriction</t>
  </si>
  <si>
    <t>Investment Return and Interest Income</t>
  </si>
  <si>
    <t>Depreciation and FIN47 Accretion Expense</t>
  </si>
  <si>
    <t>Change in Net Assets per Audit Papers</t>
  </si>
  <si>
    <t>(check)</t>
  </si>
  <si>
    <t>Rounding difference</t>
  </si>
  <si>
    <t>Existing Interest Expense on Bonds</t>
  </si>
  <si>
    <t>Existing Principal Payments on Bonds</t>
  </si>
  <si>
    <t>Bottom Line After Debt Service</t>
  </si>
  <si>
    <t>FY18</t>
  </si>
  <si>
    <t>Fall 17</t>
  </si>
  <si>
    <t>Spring 18</t>
  </si>
  <si>
    <t>Fall 2018</t>
  </si>
  <si>
    <t>Spring 2019</t>
  </si>
  <si>
    <t>BGS GR</t>
  </si>
  <si>
    <t>BGS MBA</t>
  </si>
  <si>
    <t>CAS PT</t>
  </si>
  <si>
    <t>FY19</t>
  </si>
  <si>
    <t>BGS Enrollment Fee</t>
  </si>
  <si>
    <t>Year 1*</t>
  </si>
  <si>
    <t>*Based off of FY15 Board Approved Budget</t>
  </si>
  <si>
    <t>Lease Related Fees</t>
  </si>
  <si>
    <t>1-000-000-25000</t>
  </si>
  <si>
    <t>SERIES A</t>
  </si>
  <si>
    <t>SERIES B</t>
  </si>
  <si>
    <t>1-470-010-58025   CAS Health Srvcs Health Services Visits</t>
  </si>
  <si>
    <t>1-650-098-58010   Papercut Revenue</t>
  </si>
  <si>
    <t>Fall 2019</t>
  </si>
  <si>
    <t>Spring 2020</t>
  </si>
  <si>
    <t>FY20</t>
  </si>
  <si>
    <t>Fall 2015 Enrollment Report</t>
  </si>
  <si>
    <t>CAS FT</t>
  </si>
  <si>
    <t>CAS NM/HS/Cons</t>
  </si>
  <si>
    <t>NHP-C BSN (CAS BSN)</t>
  </si>
  <si>
    <t>NHP BSN (all other BSN)</t>
  </si>
  <si>
    <t>NHP Nurs Candidates</t>
  </si>
  <si>
    <t>NHP Grad</t>
  </si>
  <si>
    <t>SPS ARC/Martha's Tbl</t>
  </si>
  <si>
    <t>SPS UG Main Campus</t>
  </si>
  <si>
    <t>SPS Pre-Nursing</t>
  </si>
  <si>
    <t>SPS UG-NM/Cons</t>
  </si>
  <si>
    <t>BGS Grad</t>
  </si>
  <si>
    <t>BGS NM/Cons</t>
  </si>
  <si>
    <t>EDU Degree</t>
  </si>
  <si>
    <t>EDU ACP-Degree</t>
  </si>
  <si>
    <t>EDU ACP-Non Degree</t>
  </si>
  <si>
    <t>EDU Other Non-Degree</t>
  </si>
  <si>
    <t>FA15 New Students Final</t>
  </si>
  <si>
    <t>Change in FV of Swap</t>
  </si>
  <si>
    <t xml:space="preserve">  1-050-030-40071 EDU Tuition Contracted NLEAD</t>
  </si>
  <si>
    <t xml:space="preserve">  1-050-060-56021 General Athletics Revenue</t>
  </si>
  <si>
    <t>Base = For the Twelve Months Ending June 30, 2015</t>
  </si>
  <si>
    <t>Fall 2015</t>
  </si>
  <si>
    <t>Spring 2016</t>
  </si>
  <si>
    <t>Yr 1 (FY16)</t>
  </si>
  <si>
    <t xml:space="preserve">  1-050-060-57090 TCWGS Other Revenue</t>
  </si>
  <si>
    <t>Change in Net Assets according to Homegrown ("Bottom Line")</t>
  </si>
  <si>
    <t>Academic Center Related Operating Charges</t>
  </si>
  <si>
    <t>Academic Center Related Expenses</t>
  </si>
  <si>
    <t>Security</t>
  </si>
  <si>
    <t>Reception Desk Coverage</t>
  </si>
  <si>
    <t>Franklin St. Gate</t>
  </si>
  <si>
    <t>Facilities</t>
  </si>
  <si>
    <t>Additional Employee for O&amp;M</t>
  </si>
  <si>
    <t>Additional Employee for custodial work</t>
  </si>
  <si>
    <t>Maintenance</t>
  </si>
  <si>
    <t>SPRING 2017</t>
  </si>
  <si>
    <t>SP 2019</t>
  </si>
  <si>
    <t>SP 2020</t>
  </si>
  <si>
    <t>NHP MSN</t>
  </si>
  <si>
    <t>TOTALS</t>
  </si>
  <si>
    <t xml:space="preserve">CAS FT </t>
  </si>
  <si>
    <t xml:space="preserve">BGS GR </t>
  </si>
  <si>
    <t>Enrollment Basis for Five-Year Financial Pro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</si>
</sst>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  <numFmt numFmtId="166" formatCode="#,##0.00;[Red]\(#,##0.00\)"/>
    <numFmt numFmtId="167" formatCode="0.000000000"/>
    <numFmt numFmtId="168" formatCode="0.00000000000"/>
    <numFmt numFmtId="169" formatCode="#,###,##0;\(#,###,##0\)"/>
    <numFmt numFmtId="170" formatCode="&quot;$&quot;#,###,##0;\(&quot;$&quot;#,###,##0\)"/>
    <numFmt numFmtId="171" formatCode="#,##0.00%;\(#,##0.00%\)"/>
    <numFmt numFmtId="172" formatCode="#,##0.0_);[Red]\(#,##0.0\)"/>
    <numFmt numFmtId="173" formatCode="#,##0.00;\(#,##0.00\)"/>
    <numFmt numFmtId="174" formatCode="_(&quot;$&quot;* #,##0_);_(&quot;$&quot;* \(#,##0\);_(&quot;$&quot;* &quot;-&quot;??_);_(@_)"/>
    <numFmt numFmtId="175" formatCode="[$-409]mmmm\ d\,\ yyyy;@"/>
    <numFmt numFmtId="176" formatCode="0.0%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Bookman Old Style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0"/>
      <name val="Bookman Old Style"/>
      <family val="1"/>
    </font>
    <font>
      <b/>
      <sz val="14"/>
      <color indexed="0"/>
      <name val="Times New Roman"/>
      <family val="1"/>
    </font>
    <font>
      <b/>
      <sz val="10"/>
      <color indexed="0"/>
      <name val="Times New Roman"/>
      <family val="1"/>
    </font>
    <font>
      <sz val="12"/>
      <color indexed="0"/>
      <name val="Times New Roman"/>
      <family val="1"/>
    </font>
    <font>
      <b/>
      <u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Garamond"/>
      <family val="1"/>
    </font>
    <font>
      <sz val="11"/>
      <color indexed="0"/>
      <name val="Times New Roman"/>
      <family val="1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sz val="11"/>
      <color rgb="FFFF0000"/>
      <name val="Times New Roman"/>
      <family val="1"/>
    </font>
    <font>
      <sz val="11"/>
      <color rgb="FFFF0000"/>
      <name val="Garamond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14">
    <xf numFmtId="0" fontId="0" fillId="0" borderId="0"/>
    <xf numFmtId="43" fontId="7" fillId="0" borderId="0" applyFont="0" applyFill="0" applyBorder="0" applyAlignment="0" applyProtection="0"/>
    <xf numFmtId="169" fontId="17" fillId="0" borderId="0"/>
    <xf numFmtId="170" fontId="17" fillId="0" borderId="0"/>
    <xf numFmtId="171" fontId="17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9" fontId="7" fillId="0" borderId="0" applyFont="0" applyFill="0" applyBorder="0" applyAlignment="0" applyProtection="0"/>
    <xf numFmtId="0" fontId="10" fillId="0" borderId="0" applyNumberFormat="0" applyBorder="0" applyAlignment="0"/>
    <xf numFmtId="0" fontId="18" fillId="0" borderId="0"/>
    <xf numFmtId="0" fontId="11" fillId="0" borderId="0" applyNumberFormat="0" applyBorder="0" applyAlignment="0"/>
    <xf numFmtId="0" fontId="19" fillId="0" borderId="0"/>
    <xf numFmtId="0" fontId="20" fillId="0" borderId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15" applyNumberFormat="0" applyAlignment="0" applyProtection="0"/>
    <xf numFmtId="0" fontId="46" fillId="13" borderId="16" applyNumberFormat="0" applyAlignment="0" applyProtection="0"/>
    <xf numFmtId="0" fontId="47" fillId="13" borderId="15" applyNumberFormat="0" applyAlignment="0" applyProtection="0"/>
    <xf numFmtId="0" fontId="48" fillId="0" borderId="17" applyNumberFormat="0" applyFill="0" applyAlignment="0" applyProtection="0"/>
    <xf numFmtId="0" fontId="49" fillId="14" borderId="1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53" fillId="39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5" borderId="19" applyNumberFormat="0" applyFont="0" applyAlignment="0" applyProtection="0"/>
    <xf numFmtId="0" fontId="5" fillId="0" borderId="0"/>
    <xf numFmtId="0" fontId="5" fillId="15" borderId="19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3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15" borderId="1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5" borderId="19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9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19" applyNumberFormat="0" applyFont="0" applyAlignment="0" applyProtection="0"/>
    <xf numFmtId="0" fontId="2" fillId="0" borderId="0"/>
    <xf numFmtId="0" fontId="2" fillId="15" borderId="19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1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5" borderId="19" applyNumberFormat="0" applyFont="0" applyAlignment="0" applyProtection="0"/>
    <xf numFmtId="0" fontId="1" fillId="0" borderId="0"/>
    <xf numFmtId="0" fontId="1" fillId="15" borderId="1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5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1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0" fontId="1" fillId="15" borderId="19" applyNumberFormat="0" applyFont="0" applyAlignment="0" applyProtection="0"/>
    <xf numFmtId="0" fontId="1" fillId="0" borderId="0"/>
    <xf numFmtId="0" fontId="1" fillId="15" borderId="1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5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12" fillId="0" borderId="0" xfId="0" applyFont="1"/>
    <xf numFmtId="0" fontId="12" fillId="0" borderId="0" xfId="0" applyNumberFormat="1" applyFont="1" applyAlignment="1" applyProtection="1">
      <alignment horizontal="center"/>
      <protection locked="0"/>
    </xf>
    <xf numFmtId="10" fontId="12" fillId="0" borderId="0" xfId="0" applyNumberFormat="1" applyFont="1"/>
    <xf numFmtId="37" fontId="12" fillId="0" borderId="0" xfId="0" applyNumberFormat="1" applyFont="1"/>
    <xf numFmtId="0" fontId="13" fillId="2" borderId="0" xfId="0" applyNumberFormat="1" applyFont="1" applyFill="1" applyAlignment="1">
      <alignment horizontal="center"/>
    </xf>
    <xf numFmtId="14" fontId="12" fillId="0" borderId="0" xfId="0" applyNumberFormat="1" applyFont="1" applyAlignment="1" applyProtection="1">
      <alignment horizontal="center"/>
      <protection locked="0"/>
    </xf>
    <xf numFmtId="10" fontId="12" fillId="0" borderId="0" xfId="0" applyNumberFormat="1" applyFont="1" applyAlignment="1" applyProtection="1">
      <alignment horizontal="center"/>
      <protection locked="0"/>
    </xf>
    <xf numFmtId="9" fontId="12" fillId="2" borderId="1" xfId="0" applyNumberFormat="1" applyFont="1" applyFill="1" applyBorder="1"/>
    <xf numFmtId="0" fontId="12" fillId="0" borderId="0" xfId="0" applyNumberFormat="1" applyFont="1" applyAlignment="1" applyProtection="1">
      <alignment horizontal="left"/>
      <protection locked="0"/>
    </xf>
    <xf numFmtId="166" fontId="12" fillId="0" borderId="0" xfId="0" applyNumberFormat="1" applyFont="1" applyAlignment="1">
      <alignment horizontal="right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right"/>
      <protection locked="0"/>
    </xf>
    <xf numFmtId="166" fontId="13" fillId="0" borderId="0" xfId="0" applyNumberFormat="1" applyFont="1" applyAlignment="1">
      <alignment horizontal="right"/>
    </xf>
    <xf numFmtId="10" fontId="13" fillId="0" borderId="0" xfId="0" applyNumberFormat="1" applyFont="1"/>
    <xf numFmtId="37" fontId="13" fillId="0" borderId="0" xfId="0" applyNumberFormat="1" applyFont="1"/>
    <xf numFmtId="0" fontId="13" fillId="0" borderId="0" xfId="0" applyFont="1"/>
    <xf numFmtId="0" fontId="15" fillId="0" borderId="0" xfId="15" quotePrefix="1" applyFont="1" applyAlignment="1">
      <alignment horizontal="left"/>
    </xf>
    <xf numFmtId="0" fontId="12" fillId="0" borderId="0" xfId="0" applyNumberFormat="1" applyFont="1" applyAlignment="1" applyProtection="1">
      <alignment horizontal="fill"/>
      <protection locked="0"/>
    </xf>
    <xf numFmtId="166" fontId="12" fillId="0" borderId="2" xfId="0" applyNumberFormat="1" applyFont="1" applyBorder="1" applyAlignment="1">
      <alignment horizontal="right"/>
    </xf>
    <xf numFmtId="167" fontId="12" fillId="0" borderId="0" xfId="0" applyNumberFormat="1" applyFont="1" applyAlignment="1" applyProtection="1">
      <alignment horizontal="fill"/>
      <protection locked="0"/>
    </xf>
    <xf numFmtId="166" fontId="12" fillId="0" borderId="0" xfId="0" applyNumberFormat="1" applyFont="1"/>
    <xf numFmtId="39" fontId="12" fillId="0" borderId="0" xfId="0" applyNumberFormat="1" applyFont="1"/>
    <xf numFmtId="39" fontId="12" fillId="0" borderId="0" xfId="0" applyNumberFormat="1" applyFont="1" applyBorder="1"/>
    <xf numFmtId="0" fontId="16" fillId="0" borderId="0" xfId="0" applyFont="1" applyAlignment="1">
      <alignment horizontal="right"/>
    </xf>
    <xf numFmtId="168" fontId="12" fillId="0" borderId="0" xfId="0" applyNumberFormat="1" applyFont="1"/>
    <xf numFmtId="1" fontId="12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5" fillId="0" borderId="0" xfId="15" quotePrefix="1" applyNumberFormat="1" applyFont="1" applyAlignment="1">
      <alignment horizontal="center"/>
    </xf>
    <xf numFmtId="43" fontId="12" fillId="0" borderId="3" xfId="1" applyFont="1" applyBorder="1"/>
    <xf numFmtId="43" fontId="12" fillId="0" borderId="0" xfId="1" applyFont="1"/>
    <xf numFmtId="0" fontId="14" fillId="0" borderId="0" xfId="0" applyFont="1"/>
    <xf numFmtId="10" fontId="12" fillId="0" borderId="0" xfId="12" applyNumberFormat="1" applyFont="1"/>
    <xf numFmtId="0" fontId="12" fillId="3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0" xfId="5" applyFont="1" applyAlignment="1">
      <alignment horizontal="left"/>
    </xf>
    <xf numFmtId="9" fontId="12" fillId="0" borderId="0" xfId="0" applyNumberFormat="1" applyFont="1"/>
    <xf numFmtId="164" fontId="12" fillId="0" borderId="0" xfId="0" applyNumberFormat="1" applyFont="1" applyAlignment="1">
      <alignment horizontal="right"/>
    </xf>
    <xf numFmtId="38" fontId="12" fillId="0" borderId="0" xfId="0" applyNumberFormat="1" applyFont="1"/>
    <xf numFmtId="10" fontId="12" fillId="0" borderId="0" xfId="0" applyNumberFormat="1" applyFont="1" applyAlignment="1">
      <alignment horizontal="center"/>
    </xf>
    <xf numFmtId="165" fontId="12" fillId="0" borderId="0" xfId="1" applyNumberFormat="1" applyFont="1"/>
    <xf numFmtId="0" fontId="12" fillId="0" borderId="0" xfId="0" applyFont="1" applyFill="1"/>
    <xf numFmtId="0" fontId="13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 applyProtection="1">
      <alignment horizontal="fill"/>
      <protection locked="0"/>
    </xf>
    <xf numFmtId="3" fontId="12" fillId="0" borderId="0" xfId="0" applyNumberFormat="1" applyFont="1"/>
    <xf numFmtId="164" fontId="12" fillId="0" borderId="0" xfId="0" applyNumberFormat="1" applyFont="1" applyFill="1"/>
    <xf numFmtId="0" fontId="21" fillId="0" borderId="0" xfId="0" applyNumberFormat="1" applyFont="1" applyAlignment="1" applyProtection="1">
      <alignment horizontal="left"/>
      <protection locked="0"/>
    </xf>
    <xf numFmtId="165" fontId="12" fillId="0" borderId="0" xfId="1" applyNumberFormat="1" applyFont="1" applyFill="1" applyAlignment="1">
      <alignment horizontal="right"/>
    </xf>
    <xf numFmtId="165" fontId="12" fillId="0" borderId="0" xfId="1" applyNumberFormat="1" applyFont="1" applyFill="1"/>
    <xf numFmtId="0" fontId="13" fillId="0" borderId="0" xfId="0" applyNumberFormat="1" applyFont="1" applyAlignment="1" applyProtection="1">
      <alignment horizontal="left"/>
      <protection locked="0"/>
    </xf>
    <xf numFmtId="38" fontId="12" fillId="0" borderId="0" xfId="0" applyNumberFormat="1" applyFont="1" applyAlignment="1" applyProtection="1">
      <alignment horizontal="fill"/>
      <protection locked="0"/>
    </xf>
    <xf numFmtId="0" fontId="22" fillId="0" borderId="0" xfId="0" applyFont="1"/>
    <xf numFmtId="43" fontId="22" fillId="0" borderId="0" xfId="1" applyFont="1"/>
    <xf numFmtId="40" fontId="12" fillId="0" borderId="0" xfId="0" applyNumberFormat="1" applyFont="1"/>
    <xf numFmtId="1" fontId="12" fillId="0" borderId="0" xfId="0" applyNumberFormat="1" applyFont="1"/>
    <xf numFmtId="0" fontId="12" fillId="0" borderId="0" xfId="8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4" borderId="0" xfId="0" applyFont="1" applyFill="1"/>
    <xf numFmtId="43" fontId="22" fillId="4" borderId="0" xfId="1" applyFont="1" applyFill="1"/>
    <xf numFmtId="3" fontId="23" fillId="0" borderId="0" xfId="0" applyNumberFormat="1" applyFont="1"/>
    <xf numFmtId="43" fontId="22" fillId="0" borderId="0" xfId="6" applyNumberFormat="1" applyFont="1"/>
    <xf numFmtId="165" fontId="24" fillId="0" borderId="0" xfId="1" applyNumberFormat="1" applyFont="1" applyBorder="1"/>
    <xf numFmtId="0" fontId="25" fillId="0" borderId="0" xfId="7" applyFont="1" applyAlignment="1">
      <alignment horizontal="left"/>
    </xf>
    <xf numFmtId="9" fontId="25" fillId="0" borderId="0" xfId="12" applyFont="1"/>
    <xf numFmtId="38" fontId="12" fillId="0" borderId="0" xfId="0" applyNumberFormat="1" applyFont="1" applyAlignment="1">
      <alignment horizontal="right"/>
    </xf>
    <xf numFmtId="164" fontId="12" fillId="0" borderId="0" xfId="0" applyNumberFormat="1" applyFont="1"/>
    <xf numFmtId="0" fontId="12" fillId="3" borderId="0" xfId="0" applyFont="1" applyFill="1"/>
    <xf numFmtId="0" fontId="12" fillId="2" borderId="1" xfId="0" applyFont="1" applyFill="1" applyBorder="1"/>
    <xf numFmtId="0" fontId="13" fillId="0" borderId="1" xfId="0" applyFont="1" applyBorder="1" applyAlignment="1">
      <alignment horizontal="center"/>
    </xf>
    <xf numFmtId="37" fontId="12" fillId="3" borderId="0" xfId="0" applyNumberFormat="1" applyFont="1" applyFill="1"/>
    <xf numFmtId="14" fontId="12" fillId="3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Border="1"/>
    <xf numFmtId="164" fontId="12" fillId="3" borderId="2" xfId="0" applyNumberFormat="1" applyFont="1" applyFill="1" applyBorder="1"/>
    <xf numFmtId="0" fontId="12" fillId="3" borderId="2" xfId="0" applyFont="1" applyFill="1" applyBorder="1"/>
    <xf numFmtId="0" fontId="13" fillId="0" borderId="0" xfId="0" applyFont="1" applyAlignment="1">
      <alignment horizontal="centerContinuous"/>
    </xf>
    <xf numFmtId="0" fontId="12" fillId="0" borderId="5" xfId="8" applyFont="1" applyBorder="1"/>
    <xf numFmtId="16" fontId="12" fillId="0" borderId="6" xfId="8" quotePrefix="1" applyNumberFormat="1" applyFont="1" applyBorder="1" applyAlignment="1">
      <alignment horizontal="center"/>
    </xf>
    <xf numFmtId="0" fontId="12" fillId="0" borderId="6" xfId="8" applyFont="1" applyBorder="1" applyAlignment="1">
      <alignment horizontal="center"/>
    </xf>
    <xf numFmtId="38" fontId="12" fillId="0" borderId="7" xfId="8" quotePrefix="1" applyNumberFormat="1" applyFont="1" applyBorder="1" applyAlignment="1">
      <alignment horizontal="center"/>
    </xf>
    <xf numFmtId="0" fontId="12" fillId="0" borderId="8" xfId="8" applyFont="1" applyBorder="1"/>
    <xf numFmtId="0" fontId="12" fillId="0" borderId="0" xfId="8" applyFont="1" applyBorder="1" applyAlignment="1">
      <alignment horizontal="center"/>
    </xf>
    <xf numFmtId="0" fontId="12" fillId="0" borderId="9" xfId="8" applyFont="1" applyBorder="1" applyAlignment="1">
      <alignment horizontal="center"/>
    </xf>
    <xf numFmtId="1" fontId="12" fillId="5" borderId="1" xfId="8" applyNumberFormat="1" applyFont="1" applyFill="1" applyBorder="1"/>
    <xf numFmtId="38" fontId="12" fillId="5" borderId="1" xfId="8" applyNumberFormat="1" applyFont="1" applyFill="1" applyBorder="1"/>
    <xf numFmtId="165" fontId="12" fillId="5" borderId="1" xfId="1" applyNumberFormat="1" applyFont="1" applyFill="1" applyBorder="1"/>
    <xf numFmtId="1" fontId="12" fillId="0" borderId="1" xfId="8" applyNumberFormat="1" applyFont="1" applyBorder="1"/>
    <xf numFmtId="38" fontId="12" fillId="0" borderId="1" xfId="8" applyNumberFormat="1" applyFont="1" applyBorder="1"/>
    <xf numFmtId="165" fontId="12" fillId="0" borderId="1" xfId="1" applyNumberFormat="1" applyFont="1" applyBorder="1"/>
    <xf numFmtId="38" fontId="12" fillId="0" borderId="1" xfId="8" applyNumberFormat="1" applyFont="1" applyFill="1" applyBorder="1"/>
    <xf numFmtId="38" fontId="12" fillId="6" borderId="1" xfId="8" applyNumberFormat="1" applyFont="1" applyFill="1" applyBorder="1"/>
    <xf numFmtId="1" fontId="12" fillId="0" borderId="8" xfId="8" applyNumberFormat="1" applyFont="1" applyBorder="1"/>
    <xf numFmtId="0" fontId="12" fillId="0" borderId="0" xfId="9" applyFont="1"/>
    <xf numFmtId="0" fontId="12" fillId="7" borderId="0" xfId="9" applyFont="1" applyFill="1"/>
    <xf numFmtId="0" fontId="12" fillId="4" borderId="0" xfId="9" applyFont="1" applyFill="1"/>
    <xf numFmtId="43" fontId="12" fillId="0" borderId="0" xfId="1" applyFont="1" applyFill="1" applyBorder="1"/>
    <xf numFmtId="0" fontId="25" fillId="0" borderId="0" xfId="11" applyFont="1" applyAlignment="1">
      <alignment horizontal="left"/>
    </xf>
    <xf numFmtId="37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9" fontId="22" fillId="2" borderId="1" xfId="0" applyNumberFormat="1" applyFont="1" applyFill="1" applyBorder="1"/>
    <xf numFmtId="5" fontId="12" fillId="0" borderId="0" xfId="0" applyNumberFormat="1" applyFont="1" applyFill="1" applyBorder="1"/>
    <xf numFmtId="5" fontId="22" fillId="0" borderId="0" xfId="0" applyNumberFormat="1" applyFont="1" applyFill="1" applyBorder="1"/>
    <xf numFmtId="0" fontId="25" fillId="0" borderId="0" xfId="10" applyFont="1" applyAlignment="1">
      <alignment horizontal="left"/>
    </xf>
    <xf numFmtId="43" fontId="25" fillId="0" borderId="0" xfId="1" applyFont="1"/>
    <xf numFmtId="0" fontId="25" fillId="0" borderId="0" xfId="10" applyFont="1"/>
    <xf numFmtId="9" fontId="12" fillId="0" borderId="0" xfId="0" applyNumberFormat="1" applyFont="1" applyAlignment="1">
      <alignment horizontal="center"/>
    </xf>
    <xf numFmtId="43" fontId="12" fillId="0" borderId="0" xfId="1" applyFont="1" applyFill="1" applyAlignment="1">
      <alignment horizontal="center"/>
    </xf>
    <xf numFmtId="165" fontId="12" fillId="0" borderId="0" xfId="1" applyNumberFormat="1" applyFont="1" applyFill="1" applyAlignment="1">
      <alignment horizontal="center"/>
    </xf>
    <xf numFmtId="43" fontId="12" fillId="0" borderId="0" xfId="0" applyNumberFormat="1" applyFont="1" applyFill="1" applyAlignment="1">
      <alignment horizontal="center"/>
    </xf>
    <xf numFmtId="172" fontId="12" fillId="0" borderId="0" xfId="0" applyNumberFormat="1" applyFont="1"/>
    <xf numFmtId="0" fontId="12" fillId="8" borderId="0" xfId="9" applyFont="1" applyFill="1"/>
    <xf numFmtId="0" fontId="12" fillId="8" borderId="0" xfId="0" applyFont="1" applyFill="1"/>
    <xf numFmtId="165" fontId="12" fillId="7" borderId="0" xfId="1" applyNumberFormat="1" applyFont="1" applyFill="1"/>
    <xf numFmtId="165" fontId="12" fillId="4" borderId="0" xfId="1" applyNumberFormat="1" applyFont="1" applyFill="1"/>
    <xf numFmtId="0" fontId="26" fillId="0" borderId="0" xfId="0" applyFont="1"/>
    <xf numFmtId="0" fontId="27" fillId="0" borderId="0" xfId="13" applyFont="1"/>
    <xf numFmtId="165" fontId="28" fillId="0" borderId="0" xfId="1" applyNumberFormat="1" applyFont="1"/>
    <xf numFmtId="165" fontId="27" fillId="0" borderId="0" xfId="1" applyNumberFormat="1" applyFont="1"/>
    <xf numFmtId="165" fontId="29" fillId="0" borderId="0" xfId="1" applyNumberFormat="1" applyFont="1"/>
    <xf numFmtId="165" fontId="29" fillId="0" borderId="2" xfId="1" applyNumberFormat="1" applyFont="1" applyBorder="1"/>
    <xf numFmtId="0" fontId="29" fillId="0" borderId="0" xfId="0" applyFont="1"/>
    <xf numFmtId="3" fontId="29" fillId="0" borderId="0" xfId="0" applyNumberFormat="1" applyFont="1"/>
    <xf numFmtId="14" fontId="29" fillId="0" borderId="0" xfId="0" applyNumberFormat="1" applyFont="1"/>
    <xf numFmtId="0" fontId="10" fillId="0" borderId="0" xfId="13" quotePrefix="1" applyAlignment="1">
      <alignment horizontal="left"/>
    </xf>
    <xf numFmtId="169" fontId="10" fillId="0" borderId="0" xfId="13" applyNumberFormat="1"/>
    <xf numFmtId="0" fontId="10" fillId="0" borderId="0" xfId="13" applyAlignment="1">
      <alignment horizontal="left"/>
    </xf>
    <xf numFmtId="0" fontId="30" fillId="0" borderId="0" xfId="0" applyFont="1"/>
    <xf numFmtId="0" fontId="7" fillId="0" borderId="0" xfId="0" applyFont="1"/>
    <xf numFmtId="44" fontId="0" fillId="0" borderId="0" xfId="0" applyNumberFormat="1"/>
    <xf numFmtId="43" fontId="0" fillId="0" borderId="0" xfId="0" applyNumberFormat="1"/>
    <xf numFmtId="0" fontId="12" fillId="0" borderId="0" xfId="0" applyFont="1" applyAlignment="1">
      <alignment horizontal="center"/>
    </xf>
    <xf numFmtId="39" fontId="13" fillId="0" borderId="0" xfId="0" applyNumberFormat="1" applyFont="1"/>
    <xf numFmtId="39" fontId="12" fillId="0" borderId="2" xfId="0" applyNumberFormat="1" applyFont="1" applyBorder="1"/>
    <xf numFmtId="39" fontId="12" fillId="0" borderId="3" xfId="0" applyNumberFormat="1" applyFont="1" applyBorder="1"/>
    <xf numFmtId="0" fontId="12" fillId="0" borderId="0" xfId="0" applyFont="1" applyAlignment="1">
      <alignment horizontal="center"/>
    </xf>
    <xf numFmtId="165" fontId="12" fillId="0" borderId="0" xfId="1" applyNumberFormat="1" applyFont="1" applyFill="1" applyBorder="1"/>
    <xf numFmtId="0" fontId="31" fillId="0" borderId="0" xfId="0" applyFont="1"/>
    <xf numFmtId="165" fontId="32" fillId="0" borderId="0" xfId="1" applyNumberFormat="1" applyFont="1" applyBorder="1"/>
    <xf numFmtId="0" fontId="34" fillId="0" borderId="0" xfId="0" applyFont="1"/>
    <xf numFmtId="9" fontId="35" fillId="0" borderId="11" xfId="12" applyFont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NumberFormat="1" applyFill="1" applyBorder="1"/>
    <xf numFmtId="0" fontId="36" fillId="0" borderId="0" xfId="0" applyFont="1"/>
    <xf numFmtId="10" fontId="26" fillId="0" borderId="0" xfId="12" applyNumberFormat="1" applyFont="1"/>
    <xf numFmtId="0" fontId="12" fillId="0" borderId="0" xfId="0" applyNumberFormat="1" applyFont="1" applyFill="1" applyAlignment="1" applyProtection="1">
      <alignment horizontal="left"/>
      <protection locked="0"/>
    </xf>
    <xf numFmtId="9" fontId="12" fillId="0" borderId="1" xfId="12" applyFont="1" applyFill="1" applyBorder="1" applyAlignment="1">
      <alignment horizontal="center"/>
    </xf>
    <xf numFmtId="0" fontId="12" fillId="0" borderId="0" xfId="5" applyFont="1" applyFill="1" applyAlignment="1">
      <alignment horizontal="left"/>
    </xf>
    <xf numFmtId="169" fontId="12" fillId="0" borderId="0" xfId="2" applyFont="1" applyFill="1"/>
    <xf numFmtId="44" fontId="12" fillId="0" borderId="0" xfId="18" applyFont="1" applyFill="1"/>
    <xf numFmtId="9" fontId="12" fillId="2" borderId="1" xfId="12" applyFont="1" applyFill="1" applyBorder="1" applyAlignment="1">
      <alignment horizontal="center"/>
    </xf>
    <xf numFmtId="1" fontId="12" fillId="0" borderId="0" xfId="8" applyNumberFormat="1" applyFont="1" applyBorder="1"/>
    <xf numFmtId="165" fontId="12" fillId="0" borderId="0" xfId="1" applyNumberFormat="1" applyFont="1" applyBorder="1"/>
    <xf numFmtId="174" fontId="7" fillId="0" borderId="0" xfId="19" applyNumberFormat="1" applyFill="1" applyBorder="1"/>
    <xf numFmtId="174" fontId="7" fillId="0" borderId="0" xfId="19" applyNumberFormat="1" applyFont="1" applyFill="1" applyBorder="1"/>
    <xf numFmtId="43" fontId="7" fillId="0" borderId="0" xfId="1"/>
    <xf numFmtId="43" fontId="7" fillId="0" borderId="0" xfId="1" applyFont="1"/>
    <xf numFmtId="0" fontId="6" fillId="0" borderId="0" xfId="61"/>
    <xf numFmtId="44" fontId="6" fillId="0" borderId="0" xfId="62" applyFont="1"/>
    <xf numFmtId="1" fontId="12" fillId="0" borderId="0" xfId="78" applyNumberFormat="1" applyFont="1" applyAlignment="1" applyProtection="1">
      <alignment horizontal="center"/>
      <protection locked="0"/>
    </xf>
    <xf numFmtId="1" fontId="15" fillId="0" borderId="0" xfId="15" quotePrefix="1" applyNumberFormat="1" applyFont="1" applyAlignment="1">
      <alignment horizontal="center"/>
    </xf>
    <xf numFmtId="43" fontId="12" fillId="0" borderId="0" xfId="0" applyNumberFormat="1" applyFont="1"/>
    <xf numFmtId="0" fontId="12" fillId="0" borderId="0" xfId="0" applyNumberFormat="1" applyFont="1" applyAlignment="1" applyProtection="1">
      <alignment horizontal="left" wrapText="1"/>
      <protection locked="0"/>
    </xf>
    <xf numFmtId="173" fontId="15" fillId="0" borderId="0" xfId="0" applyNumberFormat="1" applyFont="1" applyFill="1" applyBorder="1" applyAlignment="1" applyProtection="1">
      <alignment horizontal="right"/>
    </xf>
    <xf numFmtId="15" fontId="12" fillId="0" borderId="0" xfId="1" quotePrefix="1" applyNumberFormat="1" applyFont="1"/>
    <xf numFmtId="43" fontId="22" fillId="0" borderId="0" xfId="0" applyNumberFormat="1" applyFont="1"/>
    <xf numFmtId="165" fontId="15" fillId="0" borderId="21" xfId="1" applyNumberFormat="1" applyFont="1" applyFill="1" applyBorder="1" applyAlignment="1" applyProtection="1">
      <alignment horizontal="right"/>
    </xf>
    <xf numFmtId="0" fontId="58" fillId="0" borderId="0" xfId="0" quotePrefix="1" applyFont="1"/>
    <xf numFmtId="0" fontId="35" fillId="0" borderId="0" xfId="20" applyFont="1"/>
    <xf numFmtId="0" fontId="7" fillId="0" borderId="0" xfId="20"/>
    <xf numFmtId="0" fontId="7" fillId="0" borderId="0" xfId="20" applyFill="1" applyBorder="1"/>
    <xf numFmtId="175" fontId="7" fillId="0" borderId="0" xfId="20" applyNumberFormat="1" applyFill="1" applyBorder="1"/>
    <xf numFmtId="1" fontId="7" fillId="0" borderId="0" xfId="20" applyNumberFormat="1" applyFill="1" applyBorder="1"/>
    <xf numFmtId="175" fontId="7" fillId="0" borderId="0" xfId="20" applyNumberFormat="1"/>
    <xf numFmtId="0" fontId="37" fillId="0" borderId="0" xfId="20" applyFont="1" applyAlignment="1">
      <alignment horizontal="center" wrapText="1"/>
    </xf>
    <xf numFmtId="43" fontId="7" fillId="0" borderId="0" xfId="20" applyNumberFormat="1"/>
    <xf numFmtId="0" fontId="37" fillId="0" borderId="0" xfId="20" applyFont="1" applyAlignment="1">
      <alignment horizontal="center"/>
    </xf>
    <xf numFmtId="0" fontId="7" fillId="0" borderId="0" xfId="20" applyAlignment="1">
      <alignment horizontal="center"/>
    </xf>
    <xf numFmtId="174" fontId="35" fillId="0" borderId="0" xfId="20" applyNumberFormat="1" applyFont="1" applyAlignment="1">
      <alignment horizontal="center" wrapText="1"/>
    </xf>
    <xf numFmtId="0" fontId="35" fillId="0" borderId="0" xfId="20" applyFont="1" applyAlignment="1">
      <alignment horizontal="center" wrapText="1"/>
    </xf>
    <xf numFmtId="14" fontId="7" fillId="0" borderId="0" xfId="20" applyNumberFormat="1"/>
    <xf numFmtId="43" fontId="7" fillId="0" borderId="0" xfId="20" applyNumberFormat="1" applyFont="1"/>
    <xf numFmtId="43" fontId="7" fillId="0" borderId="0" xfId="20" applyNumberFormat="1" applyBorder="1"/>
    <xf numFmtId="43" fontId="7" fillId="0" borderId="0" xfId="20" applyNumberFormat="1" applyFill="1" applyBorder="1"/>
    <xf numFmtId="0" fontId="12" fillId="41" borderId="0" xfId="0" applyFont="1" applyFill="1"/>
    <xf numFmtId="0" fontId="13" fillId="41" borderId="0" xfId="0" applyFont="1" applyFill="1" applyAlignment="1">
      <alignment horizontal="center"/>
    </xf>
    <xf numFmtId="14" fontId="13" fillId="41" borderId="0" xfId="0" applyNumberFormat="1" applyFont="1" applyFill="1" applyAlignment="1" applyProtection="1">
      <alignment horizontal="center"/>
      <protection locked="0"/>
    </xf>
    <xf numFmtId="169" fontId="25" fillId="42" borderId="0" xfId="2" applyFont="1" applyFill="1"/>
    <xf numFmtId="169" fontId="25" fillId="0" borderId="0" xfId="2" applyFont="1" applyFill="1"/>
    <xf numFmtId="164" fontId="12" fillId="42" borderId="0" xfId="0" applyNumberFormat="1" applyFont="1" applyFill="1" applyAlignment="1">
      <alignment horizontal="right"/>
    </xf>
    <xf numFmtId="43" fontId="25" fillId="42" borderId="0" xfId="1" applyFont="1" applyFill="1"/>
    <xf numFmtId="43" fontId="25" fillId="0" borderId="0" xfId="1" applyFont="1" applyFill="1" applyAlignment="1">
      <alignment horizontal="fill"/>
    </xf>
    <xf numFmtId="43" fontId="12" fillId="0" borderId="0" xfId="1" applyFont="1" applyFill="1"/>
    <xf numFmtId="43" fontId="12" fillId="42" borderId="0" xfId="1" applyFont="1" applyFill="1"/>
    <xf numFmtId="0" fontId="12" fillId="42" borderId="0" xfId="0" applyNumberFormat="1" applyFont="1" applyFill="1" applyAlignment="1" applyProtection="1">
      <alignment horizontal="fill"/>
      <protection locked="0"/>
    </xf>
    <xf numFmtId="169" fontId="12" fillId="42" borderId="0" xfId="2" applyFont="1" applyFill="1"/>
    <xf numFmtId="0" fontId="12" fillId="41" borderId="0" xfId="0" applyNumberFormat="1" applyFont="1" applyFill="1" applyAlignment="1" applyProtection="1">
      <alignment horizontal="fill"/>
      <protection locked="0"/>
    </xf>
    <xf numFmtId="38" fontId="12" fillId="42" borderId="0" xfId="0" applyNumberFormat="1" applyFont="1" applyFill="1" applyAlignment="1">
      <alignment horizontal="right"/>
    </xf>
    <xf numFmtId="39" fontId="12" fillId="42" borderId="0" xfId="0" applyNumberFormat="1" applyFont="1" applyFill="1"/>
    <xf numFmtId="166" fontId="12" fillId="42" borderId="2" xfId="0" applyNumberFormat="1" applyFont="1" applyFill="1" applyBorder="1" applyAlignment="1">
      <alignment horizontal="right"/>
    </xf>
    <xf numFmtId="44" fontId="2" fillId="42" borderId="0" xfId="18" applyFont="1" applyFill="1"/>
    <xf numFmtId="43" fontId="12" fillId="41" borderId="0" xfId="1" applyFont="1" applyFill="1" applyAlignment="1" applyProtection="1">
      <alignment horizontal="fill"/>
      <protection locked="0"/>
    </xf>
    <xf numFmtId="166" fontId="12" fillId="41" borderId="0" xfId="0" applyNumberFormat="1" applyFont="1" applyFill="1"/>
    <xf numFmtId="166" fontId="13" fillId="42" borderId="0" xfId="0" applyNumberFormat="1" applyFont="1" applyFill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13" fillId="0" borderId="1" xfId="207" applyFont="1" applyFill="1" applyBorder="1"/>
    <xf numFmtId="43" fontId="12" fillId="40" borderId="3" xfId="1" applyFont="1" applyFill="1" applyBorder="1"/>
    <xf numFmtId="0" fontId="13" fillId="0" borderId="1" xfId="207" applyFont="1" applyBorder="1"/>
    <xf numFmtId="14" fontId="13" fillId="0" borderId="1" xfId="207" applyNumberFormat="1" applyFont="1" applyFill="1" applyBorder="1" applyAlignment="1">
      <alignment horizontal="center" wrapText="1"/>
    </xf>
    <xf numFmtId="0" fontId="13" fillId="0" borderId="1" xfId="207" applyFont="1" applyBorder="1" applyAlignment="1">
      <alignment vertical="center" wrapText="1"/>
    </xf>
    <xf numFmtId="0" fontId="1" fillId="0" borderId="1" xfId="207" applyFill="1" applyBorder="1"/>
    <xf numFmtId="43" fontId="0" fillId="0" borderId="0" xfId="1" applyFont="1" applyFill="1"/>
    <xf numFmtId="0" fontId="1" fillId="43" borderId="1" xfId="207" applyFill="1" applyBorder="1"/>
    <xf numFmtId="165" fontId="12" fillId="0" borderId="0" xfId="0" applyNumberFormat="1" applyFont="1" applyFill="1"/>
    <xf numFmtId="0" fontId="0" fillId="0" borderId="0" xfId="0"/>
    <xf numFmtId="0" fontId="0" fillId="0" borderId="0" xfId="0" applyFill="1"/>
    <xf numFmtId="0" fontId="7" fillId="0" borderId="0" xfId="0" applyFont="1"/>
    <xf numFmtId="0" fontId="12" fillId="0" borderId="0" xfId="0" applyFont="1" applyAlignment="1">
      <alignment horizontal="center"/>
    </xf>
    <xf numFmtId="39" fontId="12" fillId="0" borderId="0" xfId="0" applyNumberFormat="1" applyFont="1" applyFill="1"/>
    <xf numFmtId="0" fontId="12" fillId="42" borderId="0" xfId="0" applyFont="1" applyFill="1"/>
    <xf numFmtId="0" fontId="12" fillId="42" borderId="0" xfId="0" applyFont="1" applyFill="1" applyAlignment="1">
      <alignment horizontal="left"/>
    </xf>
    <xf numFmtId="1" fontId="12" fillId="42" borderId="0" xfId="0" applyNumberFormat="1" applyFont="1" applyFill="1"/>
    <xf numFmtId="40" fontId="12" fillId="42" borderId="0" xfId="0" applyNumberFormat="1" applyFont="1" applyFill="1"/>
    <xf numFmtId="40" fontId="12" fillId="42" borderId="0" xfId="0" applyNumberFormat="1" applyFont="1" applyFill="1" applyAlignment="1">
      <alignment wrapText="1"/>
    </xf>
    <xf numFmtId="43" fontId="12" fillId="42" borderId="4" xfId="1" applyFont="1" applyFill="1" applyBorder="1" applyAlignment="1">
      <alignment horizontal="right"/>
    </xf>
    <xf numFmtId="43" fontId="12" fillId="42" borderId="4" xfId="1" applyFont="1" applyFill="1" applyBorder="1"/>
    <xf numFmtId="165" fontId="12" fillId="42" borderId="1" xfId="1" applyNumberFormat="1" applyFont="1" applyFill="1" applyBorder="1"/>
    <xf numFmtId="0" fontId="0" fillId="0" borderId="0" xfId="0" applyFill="1" applyBorder="1"/>
    <xf numFmtId="166" fontId="12" fillId="42" borderId="0" xfId="0" applyNumberFormat="1" applyFont="1" applyFill="1" applyAlignment="1">
      <alignment horizontal="right"/>
    </xf>
    <xf numFmtId="38" fontId="12" fillId="0" borderId="0" xfId="0" applyNumberFormat="1" applyFont="1" applyFill="1"/>
    <xf numFmtId="164" fontId="13" fillId="0" borderId="0" xfId="0" applyNumberFormat="1" applyFont="1" applyFill="1" applyAlignment="1">
      <alignment horizontal="right"/>
    </xf>
    <xf numFmtId="165" fontId="13" fillId="0" borderId="0" xfId="1" applyNumberFormat="1" applyFont="1" applyFill="1" applyAlignment="1">
      <alignment horizontal="right"/>
    </xf>
    <xf numFmtId="38" fontId="12" fillId="0" borderId="0" xfId="0" applyNumberFormat="1" applyFont="1" applyFill="1" applyAlignment="1" applyProtection="1">
      <alignment horizontal="fill"/>
      <protection locked="0"/>
    </xf>
    <xf numFmtId="38" fontId="12" fillId="0" borderId="0" xfId="0" applyNumberFormat="1" applyFont="1" applyFill="1" applyAlignment="1">
      <alignment horizontal="right"/>
    </xf>
    <xf numFmtId="44" fontId="0" fillId="0" borderId="0" xfId="18" applyFont="1" applyFill="1"/>
    <xf numFmtId="44" fontId="0" fillId="0" borderId="0" xfId="0" applyNumberFormat="1" applyFill="1"/>
    <xf numFmtId="0" fontId="7" fillId="0" borderId="0" xfId="0" applyFont="1" applyFill="1"/>
    <xf numFmtId="43" fontId="25" fillId="0" borderId="0" xfId="1" applyFont="1" applyFill="1"/>
    <xf numFmtId="0" fontId="26" fillId="0" borderId="0" xfId="0" applyFont="1" applyFill="1"/>
    <xf numFmtId="0" fontId="7" fillId="0" borderId="0" xfId="0" applyFont="1" applyFill="1" applyBorder="1"/>
    <xf numFmtId="0" fontId="7" fillId="0" borderId="10" xfId="0" applyFont="1" applyFill="1" applyBorder="1"/>
    <xf numFmtId="44" fontId="12" fillId="0" borderId="0" xfId="18" applyFont="1"/>
    <xf numFmtId="39" fontId="13" fillId="0" borderId="0" xfId="0" applyNumberFormat="1" applyFont="1" applyFill="1"/>
    <xf numFmtId="10" fontId="12" fillId="0" borderId="0" xfId="0" applyNumberFormat="1" applyFont="1" applyFill="1"/>
    <xf numFmtId="39" fontId="12" fillId="0" borderId="2" xfId="0" applyNumberFormat="1" applyFont="1" applyFill="1" applyBorder="1"/>
    <xf numFmtId="10" fontId="12" fillId="0" borderId="0" xfId="12" applyNumberFormat="1" applyFont="1" applyFill="1"/>
    <xf numFmtId="10" fontId="13" fillId="0" borderId="0" xfId="0" applyNumberFormat="1" applyFont="1" applyFill="1"/>
    <xf numFmtId="176" fontId="12" fillId="0" borderId="0" xfId="0" applyNumberFormat="1" applyFont="1"/>
    <xf numFmtId="0" fontId="12" fillId="40" borderId="0" xfId="0" applyFont="1" applyFill="1"/>
    <xf numFmtId="173" fontId="15" fillId="40" borderId="0" xfId="0" applyNumberFormat="1" applyFont="1" applyFill="1" applyBorder="1" applyAlignment="1" applyProtection="1">
      <alignment horizontal="right"/>
    </xf>
    <xf numFmtId="0" fontId="60" fillId="0" borderId="0" xfId="5" applyFont="1" applyAlignment="1">
      <alignment horizontal="left"/>
    </xf>
    <xf numFmtId="0" fontId="12" fillId="0" borderId="0" xfId="5" applyFont="1" applyAlignment="1">
      <alignment horizontal="right"/>
    </xf>
    <xf numFmtId="1" fontId="61" fillId="0" borderId="1" xfId="0" applyNumberFormat="1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NumberFormat="1" applyBorder="1"/>
    <xf numFmtId="1" fontId="0" fillId="0" borderId="1" xfId="0" applyNumberFormat="1" applyFill="1" applyBorder="1"/>
    <xf numFmtId="0" fontId="0" fillId="0" borderId="1" xfId="0" applyNumberFormat="1" applyFill="1" applyBorder="1"/>
    <xf numFmtId="0" fontId="7" fillId="0" borderId="1" xfId="0" applyFont="1" applyBorder="1"/>
    <xf numFmtId="0" fontId="0" fillId="0" borderId="22" xfId="0" applyBorder="1"/>
    <xf numFmtId="1" fontId="0" fillId="0" borderId="22" xfId="0" applyNumberFormat="1" applyBorder="1"/>
    <xf numFmtId="0" fontId="0" fillId="0" borderId="22" xfId="0" applyNumberFormat="1" applyBorder="1"/>
    <xf numFmtId="0" fontId="0" fillId="0" borderId="22" xfId="0" applyNumberFormat="1" applyFill="1" applyBorder="1"/>
    <xf numFmtId="0" fontId="35" fillId="0" borderId="23" xfId="0" applyFont="1" applyBorder="1"/>
    <xf numFmtId="1" fontId="35" fillId="44" borderId="23" xfId="0" applyNumberFormat="1" applyFont="1" applyFill="1" applyBorder="1"/>
    <xf numFmtId="0" fontId="7" fillId="0" borderId="1" xfId="0" applyFont="1" applyFill="1" applyBorder="1"/>
    <xf numFmtId="0" fontId="1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34" fillId="0" borderId="0" xfId="20" applyFont="1" applyAlignment="1">
      <alignment horizontal="center"/>
    </xf>
  </cellXfs>
  <cellStyles count="214">
    <cellStyle name="20% - Accent1" xfId="38" builtinId="30" customBuiltin="1"/>
    <cellStyle name="20% - Accent1 2" xfId="66"/>
    <cellStyle name="20% - Accent1 2 2" xfId="116"/>
    <cellStyle name="20% - Accent1 2 2 2" xfId="195"/>
    <cellStyle name="20% - Accent1 2 3" xfId="156"/>
    <cellStyle name="20% - Accent1 3" xfId="95"/>
    <cellStyle name="20% - Accent1 3 2" xfId="177"/>
    <cellStyle name="20% - Accent1 4" xfId="135"/>
    <cellStyle name="20% - Accent2" xfId="42" builtinId="34" customBuiltin="1"/>
    <cellStyle name="20% - Accent2 2" xfId="68"/>
    <cellStyle name="20% - Accent2 2 2" xfId="118"/>
    <cellStyle name="20% - Accent2 2 2 2" xfId="197"/>
    <cellStyle name="20% - Accent2 2 3" xfId="158"/>
    <cellStyle name="20% - Accent2 3" xfId="97"/>
    <cellStyle name="20% - Accent2 3 2" xfId="179"/>
    <cellStyle name="20% - Accent2 4" xfId="137"/>
    <cellStyle name="20% - Accent3" xfId="46" builtinId="38" customBuiltin="1"/>
    <cellStyle name="20% - Accent3 2" xfId="70"/>
    <cellStyle name="20% - Accent3 2 2" xfId="120"/>
    <cellStyle name="20% - Accent3 2 2 2" xfId="199"/>
    <cellStyle name="20% - Accent3 2 3" xfId="160"/>
    <cellStyle name="20% - Accent3 3" xfId="99"/>
    <cellStyle name="20% - Accent3 3 2" xfId="181"/>
    <cellStyle name="20% - Accent3 4" xfId="139"/>
    <cellStyle name="20% - Accent4" xfId="50" builtinId="42" customBuiltin="1"/>
    <cellStyle name="20% - Accent4 2" xfId="72"/>
    <cellStyle name="20% - Accent4 2 2" xfId="122"/>
    <cellStyle name="20% - Accent4 2 2 2" xfId="201"/>
    <cellStyle name="20% - Accent4 2 3" xfId="162"/>
    <cellStyle name="20% - Accent4 3" xfId="101"/>
    <cellStyle name="20% - Accent4 3 2" xfId="183"/>
    <cellStyle name="20% - Accent4 4" xfId="141"/>
    <cellStyle name="20% - Accent5" xfId="54" builtinId="46" customBuiltin="1"/>
    <cellStyle name="20% - Accent5 2" xfId="74"/>
    <cellStyle name="20% - Accent5 2 2" xfId="124"/>
    <cellStyle name="20% - Accent5 2 2 2" xfId="203"/>
    <cellStyle name="20% - Accent5 2 3" xfId="164"/>
    <cellStyle name="20% - Accent5 3" xfId="103"/>
    <cellStyle name="20% - Accent5 3 2" xfId="185"/>
    <cellStyle name="20% - Accent5 4" xfId="143"/>
    <cellStyle name="20% - Accent6" xfId="58" builtinId="50" customBuiltin="1"/>
    <cellStyle name="20% - Accent6 2" xfId="76"/>
    <cellStyle name="20% - Accent6 2 2" xfId="126"/>
    <cellStyle name="20% - Accent6 2 2 2" xfId="205"/>
    <cellStyle name="20% - Accent6 2 3" xfId="166"/>
    <cellStyle name="20% - Accent6 3" xfId="105"/>
    <cellStyle name="20% - Accent6 3 2" xfId="187"/>
    <cellStyle name="20% - Accent6 4" xfId="145"/>
    <cellStyle name="40% - Accent1" xfId="39" builtinId="31" customBuiltin="1"/>
    <cellStyle name="40% - Accent1 2" xfId="67"/>
    <cellStyle name="40% - Accent1 2 2" xfId="117"/>
    <cellStyle name="40% - Accent1 2 2 2" xfId="196"/>
    <cellStyle name="40% - Accent1 2 3" xfId="157"/>
    <cellStyle name="40% - Accent1 3" xfId="96"/>
    <cellStyle name="40% - Accent1 3 2" xfId="178"/>
    <cellStyle name="40% - Accent1 4" xfId="136"/>
    <cellStyle name="40% - Accent2" xfId="43" builtinId="35" customBuiltin="1"/>
    <cellStyle name="40% - Accent2 2" xfId="69"/>
    <cellStyle name="40% - Accent2 2 2" xfId="119"/>
    <cellStyle name="40% - Accent2 2 2 2" xfId="198"/>
    <cellStyle name="40% - Accent2 2 3" xfId="159"/>
    <cellStyle name="40% - Accent2 3" xfId="98"/>
    <cellStyle name="40% - Accent2 3 2" xfId="180"/>
    <cellStyle name="40% - Accent2 4" xfId="138"/>
    <cellStyle name="40% - Accent3" xfId="47" builtinId="39" customBuiltin="1"/>
    <cellStyle name="40% - Accent3 2" xfId="71"/>
    <cellStyle name="40% - Accent3 2 2" xfId="121"/>
    <cellStyle name="40% - Accent3 2 2 2" xfId="200"/>
    <cellStyle name="40% - Accent3 2 3" xfId="161"/>
    <cellStyle name="40% - Accent3 3" xfId="100"/>
    <cellStyle name="40% - Accent3 3 2" xfId="182"/>
    <cellStyle name="40% - Accent3 4" xfId="140"/>
    <cellStyle name="40% - Accent4" xfId="51" builtinId="43" customBuiltin="1"/>
    <cellStyle name="40% - Accent4 2" xfId="73"/>
    <cellStyle name="40% - Accent4 2 2" xfId="123"/>
    <cellStyle name="40% - Accent4 2 2 2" xfId="202"/>
    <cellStyle name="40% - Accent4 2 3" xfId="163"/>
    <cellStyle name="40% - Accent4 3" xfId="102"/>
    <cellStyle name="40% - Accent4 3 2" xfId="184"/>
    <cellStyle name="40% - Accent4 4" xfId="142"/>
    <cellStyle name="40% - Accent5" xfId="55" builtinId="47" customBuiltin="1"/>
    <cellStyle name="40% - Accent5 2" xfId="75"/>
    <cellStyle name="40% - Accent5 2 2" xfId="125"/>
    <cellStyle name="40% - Accent5 2 2 2" xfId="204"/>
    <cellStyle name="40% - Accent5 2 3" xfId="165"/>
    <cellStyle name="40% - Accent5 3" xfId="104"/>
    <cellStyle name="40% - Accent5 3 2" xfId="186"/>
    <cellStyle name="40% - Accent5 4" xfId="144"/>
    <cellStyle name="40% - Accent6" xfId="59" builtinId="51" customBuiltin="1"/>
    <cellStyle name="40% - Accent6 2" xfId="77"/>
    <cellStyle name="40% - Accent6 2 2" xfId="127"/>
    <cellStyle name="40% - Accent6 2 2 2" xfId="206"/>
    <cellStyle name="40% - Accent6 2 3" xfId="167"/>
    <cellStyle name="40% - Accent6 3" xfId="106"/>
    <cellStyle name="40% - Accent6 3 2" xfId="188"/>
    <cellStyle name="40% - Accent6 4" xfId="146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" xfId="1" builtinId="3"/>
    <cellStyle name="Comma 2" xfId="79"/>
    <cellStyle name="Comma 3" xfId="88"/>
    <cellStyle name="Comma 3 2" xfId="132"/>
    <cellStyle name="Comma 3 2 2" xfId="211"/>
    <cellStyle name="Comma 3 3" xfId="172"/>
    <cellStyle name="Comma 4" xfId="108"/>
    <cellStyle name="Comma 5" xfId="148"/>
    <cellStyle name="Currency" xfId="18" builtinId="4"/>
    <cellStyle name="Currency 2" xfId="19"/>
    <cellStyle name="Currency 3" xfId="62"/>
    <cellStyle name="Currency 3 2" xfId="83"/>
    <cellStyle name="Currency 3 2 2" xfId="129"/>
    <cellStyle name="Currency 3 2 2 2" xfId="208"/>
    <cellStyle name="Currency 3 2 3" xfId="169"/>
    <cellStyle name="Currency 3 3" xfId="112"/>
    <cellStyle name="Currency 3 3 2" xfId="191"/>
    <cellStyle name="Currency 3 4" xfId="152"/>
    <cellStyle name="Currency 4" xfId="81"/>
    <cellStyle name="Currency 4 2" xfId="86"/>
    <cellStyle name="Currency 5" xfId="110"/>
    <cellStyle name="Currency 6" xfId="150"/>
    <cellStyle name="Explanatory Text" xfId="35" builtinId="53" customBuiltin="1"/>
    <cellStyle name="Followed Hyperlink" xfId="91" builtinId="9" hidden="1"/>
    <cellStyle name="FRxAmtStyle" xfId="2"/>
    <cellStyle name="FRxCurrStyle" xfId="3"/>
    <cellStyle name="FRxPcntStyle" xfId="4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Hyperlink" xfId="90" builtinId="8" hidden="1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2" xfId="20"/>
    <cellStyle name="Normal 3" xfId="61"/>
    <cellStyle name="Normal 3 2" xfId="82"/>
    <cellStyle name="Normal 3 2 2" xfId="128"/>
    <cellStyle name="Normal 3 2 2 2" xfId="207"/>
    <cellStyle name="Normal 3 2 3" xfId="168"/>
    <cellStyle name="Normal 3 3" xfId="111"/>
    <cellStyle name="Normal 3 3 2" xfId="190"/>
    <cellStyle name="Normal 3 4" xfId="151"/>
    <cellStyle name="Normal 4" xfId="78"/>
    <cellStyle name="Normal 4 2" xfId="85"/>
    <cellStyle name="Normal 5" xfId="64"/>
    <cellStyle name="Normal 5 2" xfId="114"/>
    <cellStyle name="Normal 5 2 2" xfId="193"/>
    <cellStyle name="Normal 5 3" xfId="154"/>
    <cellStyle name="Normal 6" xfId="87"/>
    <cellStyle name="Normal 6 2" xfId="131"/>
    <cellStyle name="Normal 6 2 2" xfId="210"/>
    <cellStyle name="Normal 6 3" xfId="171"/>
    <cellStyle name="Normal 7" xfId="107"/>
    <cellStyle name="Normal 7 2" xfId="189"/>
    <cellStyle name="Normal 8" xfId="93"/>
    <cellStyle name="Normal 8 2" xfId="175"/>
    <cellStyle name="Normal 9" xfId="147"/>
    <cellStyle name="Normal_Auxiliary Revenue" xfId="5"/>
    <cellStyle name="Normal_Debt Service" xfId="6"/>
    <cellStyle name="Normal_Other Revenue" xfId="7"/>
    <cellStyle name="Normal_Sheet2" xfId="8"/>
    <cellStyle name="Normal_Sheet3" xfId="9"/>
    <cellStyle name="Normal_Student Aid" xfId="10"/>
    <cellStyle name="Normal_Tuition &amp; Fee Revenue" xfId="11"/>
    <cellStyle name="Note 2" xfId="63"/>
    <cellStyle name="Note 2 2" xfId="84"/>
    <cellStyle name="Note 2 2 2" xfId="130"/>
    <cellStyle name="Note 2 2 2 2" xfId="209"/>
    <cellStyle name="Note 2 2 3" xfId="170"/>
    <cellStyle name="Note 2 3" xfId="113"/>
    <cellStyle name="Note 2 3 2" xfId="192"/>
    <cellStyle name="Note 2 4" xfId="153"/>
    <cellStyle name="Note 3" xfId="65"/>
    <cellStyle name="Note 3 2" xfId="115"/>
    <cellStyle name="Note 3 2 2" xfId="194"/>
    <cellStyle name="Note 3 3" xfId="155"/>
    <cellStyle name="Note 4" xfId="94"/>
    <cellStyle name="Note 4 2" xfId="176"/>
    <cellStyle name="Output" xfId="30" builtinId="21" customBuiltin="1"/>
    <cellStyle name="Percent" xfId="12" builtinId="5"/>
    <cellStyle name="Percent 2" xfId="80"/>
    <cellStyle name="Percent 3" xfId="89"/>
    <cellStyle name="Percent 3 2" xfId="133"/>
    <cellStyle name="Percent 3 2 2" xfId="212"/>
    <cellStyle name="Percent 3 3" xfId="173"/>
    <cellStyle name="Percent 4" xfId="92"/>
    <cellStyle name="Percent 4 2" xfId="134"/>
    <cellStyle name="Percent 4 2 2" xfId="213"/>
    <cellStyle name="Percent 4 3" xfId="174"/>
    <cellStyle name="Percent 5" xfId="109"/>
    <cellStyle name="Percent 6" xfId="149"/>
    <cellStyle name="STYLE1" xfId="13"/>
    <cellStyle name="STYLE2" xfId="14"/>
    <cellStyle name="STYLE3" xfId="15"/>
    <cellStyle name="STYLE4" xfId="16"/>
    <cellStyle name="STYLE5" xfId="17"/>
    <cellStyle name="Title" xfId="21" builtinId="15" customBuiltin="1"/>
    <cellStyle name="Total" xfId="36" builtinId="25" customBuiltin="1"/>
    <cellStyle name="Warning Text" xfId="34" builtinId="11" customBuiltin="1"/>
  </cellStyles>
  <dxfs count="0"/>
  <tableStyles count="0" defaultTableStyle="TableStyleMedium9" defaultPivotStyle="PivotStyleLight16"/>
  <colors>
    <mruColors>
      <color rgb="FFCCFFCC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Office/LOCKED%20DOWN%202010/Audit%20workpapers/1999/Balance%20Sheet/Restricted%20private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9schedule"/>
      <sheetName val="Gifts"/>
      <sheetName val="Receipts"/>
      <sheetName val="Scholarships"/>
      <sheetName val="Scholarships (2)"/>
      <sheetName val="Designated"/>
      <sheetName val="DUMP"/>
      <sheetName val="DUMP (2)"/>
      <sheetName val="pixel424"/>
      <sheetName val="pixel424 (2)"/>
      <sheetName val="Lu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13" workbookViewId="0">
      <selection activeCell="A62" sqref="A62"/>
    </sheetView>
  </sheetViews>
  <sheetFormatPr defaultColWidth="8.85546875" defaultRowHeight="15" x14ac:dyDescent="0.25"/>
  <cols>
    <col min="1" max="1" width="63" style="1" customWidth="1"/>
    <col min="2" max="2" width="13.42578125" style="42" customWidth="1"/>
    <col min="3" max="3" width="20.28515625" style="1" bestFit="1" customWidth="1"/>
    <col min="4" max="4" width="14.7109375" style="1" bestFit="1" customWidth="1"/>
    <col min="5" max="7" width="13.7109375" style="1" bestFit="1" customWidth="1"/>
    <col min="8" max="8" width="11.140625" style="1" bestFit="1" customWidth="1"/>
    <col min="9" max="9" width="12.85546875" style="1" bestFit="1" customWidth="1"/>
    <col min="10" max="16384" width="8.85546875" style="1"/>
  </cols>
  <sheetData>
    <row r="1" spans="1:9" x14ac:dyDescent="0.25">
      <c r="A1" s="9" t="s">
        <v>188</v>
      </c>
    </row>
    <row r="2" spans="1:9" x14ac:dyDescent="0.25">
      <c r="A2" s="9" t="s">
        <v>117</v>
      </c>
    </row>
    <row r="3" spans="1:9" x14ac:dyDescent="0.25">
      <c r="A3" s="9" t="s">
        <v>446</v>
      </c>
      <c r="C3" s="271"/>
      <c r="D3" s="271"/>
      <c r="E3" s="271"/>
      <c r="F3" s="271"/>
    </row>
    <row r="4" spans="1:9" x14ac:dyDescent="0.25">
      <c r="B4" s="188"/>
      <c r="C4" s="43">
        <v>2016</v>
      </c>
      <c r="D4" s="43">
        <f t="shared" ref="D4:G4" si="0">+C4+1</f>
        <v>2017</v>
      </c>
      <c r="E4" s="43">
        <f t="shared" si="0"/>
        <v>2018</v>
      </c>
      <c r="F4" s="43">
        <f t="shared" si="0"/>
        <v>2019</v>
      </c>
      <c r="G4" s="43">
        <f t="shared" si="0"/>
        <v>2020</v>
      </c>
    </row>
    <row r="5" spans="1:9" x14ac:dyDescent="0.25">
      <c r="B5" s="189" t="s">
        <v>94</v>
      </c>
      <c r="C5" s="44" t="s">
        <v>109</v>
      </c>
      <c r="D5" s="44" t="s">
        <v>109</v>
      </c>
      <c r="E5" s="44" t="s">
        <v>109</v>
      </c>
      <c r="F5" s="44" t="s">
        <v>109</v>
      </c>
      <c r="G5" s="44" t="s">
        <v>109</v>
      </c>
    </row>
    <row r="6" spans="1:9" x14ac:dyDescent="0.25">
      <c r="B6" s="190">
        <v>42185</v>
      </c>
      <c r="C6" s="44" t="s">
        <v>104</v>
      </c>
      <c r="D6" s="44" t="s">
        <v>105</v>
      </c>
      <c r="E6" s="44" t="s">
        <v>106</v>
      </c>
      <c r="F6" s="44" t="s">
        <v>107</v>
      </c>
      <c r="G6" s="44" t="s">
        <v>108</v>
      </c>
    </row>
    <row r="7" spans="1:9" x14ac:dyDescent="0.25">
      <c r="B7" s="188"/>
    </row>
    <row r="8" spans="1:9" x14ac:dyDescent="0.25">
      <c r="A8" s="9" t="s">
        <v>118</v>
      </c>
      <c r="B8" s="45">
        <f>+'Tuition &amp; Fee Revenue'!B50</f>
        <v>35240955.93</v>
      </c>
      <c r="C8" s="45">
        <f>+'Tuition &amp; Fee Revenue'!D50</f>
        <v>35289656.5</v>
      </c>
      <c r="D8" s="45">
        <f>+'Tuition &amp; Fee Revenue'!E50</f>
        <v>38649903.600000001</v>
      </c>
      <c r="E8" s="45">
        <f>+'Tuition &amp; Fee Revenue'!F50</f>
        <v>42496689.5</v>
      </c>
      <c r="F8" s="45">
        <f>+'Tuition &amp; Fee Revenue'!G50</f>
        <v>46216839.020000003</v>
      </c>
      <c r="G8" s="45">
        <f>+'Tuition &amp; Fee Revenue'!H50</f>
        <v>48810158.350400001</v>
      </c>
      <c r="H8" s="69"/>
    </row>
    <row r="9" spans="1:9" x14ac:dyDescent="0.25">
      <c r="A9" s="9" t="s">
        <v>119</v>
      </c>
      <c r="B9" s="45">
        <f>+'Student Aid'!B12</f>
        <v>8688600</v>
      </c>
      <c r="C9" s="233">
        <f>+'Student Aid'!D12</f>
        <v>8113311.5999999996</v>
      </c>
      <c r="D9" s="233">
        <f>+'Student Aid'!E12</f>
        <v>8876018.5600000005</v>
      </c>
      <c r="E9" s="233">
        <f>+'Student Aid'!F12</f>
        <v>9708963.2359999996</v>
      </c>
      <c r="F9" s="233">
        <f>+'Student Aid'!G12</f>
        <v>10334698.559600001</v>
      </c>
      <c r="G9" s="233">
        <f>+'Student Aid'!H12</f>
        <v>10884464.415560002</v>
      </c>
      <c r="H9" s="113"/>
    </row>
    <row r="10" spans="1:9" x14ac:dyDescent="0.25">
      <c r="A10" s="9" t="s">
        <v>120</v>
      </c>
      <c r="B10" s="45">
        <f>+'Student Aid'!B24</f>
        <v>1336941</v>
      </c>
      <c r="C10" s="233">
        <f>+'Student Aid'!D24</f>
        <v>1338650</v>
      </c>
      <c r="D10" s="233">
        <f>+'Student Aid'!E24</f>
        <v>1338650</v>
      </c>
      <c r="E10" s="233">
        <f>+'Student Aid'!F24</f>
        <v>1338650</v>
      </c>
      <c r="F10" s="233">
        <f>+'Student Aid'!G24</f>
        <v>1338650</v>
      </c>
      <c r="G10" s="233">
        <f>+'Student Aid'!H24</f>
        <v>1338650</v>
      </c>
    </row>
    <row r="11" spans="1:9" x14ac:dyDescent="0.25"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</row>
    <row r="12" spans="1:9" x14ac:dyDescent="0.25">
      <c r="A12" s="9" t="s">
        <v>122</v>
      </c>
      <c r="B12" s="45">
        <f>+B8-B9-B10</f>
        <v>25215414.93</v>
      </c>
      <c r="C12" s="45">
        <f t="shared" ref="C12:G12" si="1">+C8-C9-C10</f>
        <v>25837694.899999999</v>
      </c>
      <c r="D12" s="45">
        <f t="shared" si="1"/>
        <v>28435235.039999999</v>
      </c>
      <c r="E12" s="45">
        <f t="shared" si="1"/>
        <v>31449076.263999999</v>
      </c>
      <c r="F12" s="45">
        <f t="shared" si="1"/>
        <v>34543490.4604</v>
      </c>
      <c r="G12" s="45">
        <f t="shared" si="1"/>
        <v>36587043.934840001</v>
      </c>
    </row>
    <row r="13" spans="1:9" x14ac:dyDescent="0.25">
      <c r="A13" s="165"/>
      <c r="C13" s="42"/>
      <c r="D13" s="42"/>
      <c r="E13" s="42"/>
      <c r="F13" s="42"/>
      <c r="G13" s="42"/>
    </row>
    <row r="14" spans="1:9" x14ac:dyDescent="0.25">
      <c r="A14" s="9" t="s">
        <v>197</v>
      </c>
      <c r="B14" s="50">
        <f>'Grant Revenue'!B10</f>
        <v>422601.39</v>
      </c>
      <c r="C14" s="51">
        <f>+'Grant Revenue'!D10</f>
        <v>422601.39</v>
      </c>
      <c r="D14" s="51">
        <f>+'Grant Revenue'!E10</f>
        <v>420037.39</v>
      </c>
      <c r="E14" s="51">
        <f>+'Grant Revenue'!F10</f>
        <v>420037.39</v>
      </c>
      <c r="F14" s="51">
        <f>+'Grant Revenue'!G10</f>
        <v>420037.39</v>
      </c>
      <c r="G14" s="51">
        <f>+'Grant Revenue'!H10</f>
        <v>420037.39</v>
      </c>
    </row>
    <row r="15" spans="1:9" x14ac:dyDescent="0.25">
      <c r="A15" s="9" t="s">
        <v>123</v>
      </c>
      <c r="B15" s="50">
        <f>'Grant Revenue'!B16+'Grant Revenue'!B17+'Grant Revenue'!B18+'Grant Revenue'!B19</f>
        <v>768171.11</v>
      </c>
      <c r="C15" s="51">
        <f>+'Grant Revenue'!D24</f>
        <v>750000</v>
      </c>
      <c r="D15" s="51">
        <f>+'Grant Revenue'!E24</f>
        <v>800000</v>
      </c>
      <c r="E15" s="51">
        <f>+'Grant Revenue'!F24</f>
        <v>800000</v>
      </c>
      <c r="F15" s="51">
        <f>+'Grant Revenue'!G24</f>
        <v>800000</v>
      </c>
      <c r="G15" s="51">
        <f>+'Grant Revenue'!H24</f>
        <v>800000</v>
      </c>
    </row>
    <row r="16" spans="1:9" x14ac:dyDescent="0.25">
      <c r="A16" s="9" t="s">
        <v>124</v>
      </c>
      <c r="B16" s="51">
        <f>+'Auxiliary Revenue'!B14</f>
        <v>3663355.8200000003</v>
      </c>
      <c r="C16" s="51">
        <f>+'Auxiliary Revenue'!D14</f>
        <v>3436391.3062</v>
      </c>
      <c r="D16" s="51">
        <f>+'Auxiliary Revenue'!E14</f>
        <v>3503535.6225359999</v>
      </c>
      <c r="E16" s="51">
        <f>+'Auxiliary Revenue'!F14</f>
        <v>3572918.6541518997</v>
      </c>
      <c r="F16" s="51">
        <f>+'Auxiliary Revenue'!G14</f>
        <v>3644616.5872335956</v>
      </c>
      <c r="G16" s="51">
        <f>+'Auxiliary Revenue'!H14</f>
        <v>3718708.2319745147</v>
      </c>
      <c r="I16" s="245"/>
    </row>
    <row r="17" spans="1:8" x14ac:dyDescent="0.25">
      <c r="A17" s="9" t="s">
        <v>125</v>
      </c>
      <c r="B17" s="50">
        <f>'Auxiliary Revenue'!B32</f>
        <v>384788.77</v>
      </c>
      <c r="C17" s="51">
        <f>+'Auxiliary Revenue'!D32</f>
        <v>384788.77</v>
      </c>
      <c r="D17" s="51">
        <f>+'Auxiliary Revenue'!E32</f>
        <v>449971.98763800005</v>
      </c>
      <c r="E17" s="51">
        <f>+'Auxiliary Revenue'!F32</f>
        <v>449971.98763800005</v>
      </c>
      <c r="F17" s="51">
        <f>+'Auxiliary Revenue'!G32</f>
        <v>449971.98763800005</v>
      </c>
      <c r="G17" s="51">
        <f>+'Auxiliary Revenue'!H32</f>
        <v>449971.98763800005</v>
      </c>
    </row>
    <row r="18" spans="1:8" x14ac:dyDescent="0.25">
      <c r="A18" s="9" t="s">
        <v>126</v>
      </c>
      <c r="B18" s="50">
        <f>'Other Revenue'!B14</f>
        <v>315752.36000000004</v>
      </c>
      <c r="C18" s="51">
        <f>+'Other Revenue'!D14</f>
        <v>326734.04640000005</v>
      </c>
      <c r="D18" s="51">
        <f>+'Other Revenue'!E14</f>
        <v>326734.04640000005</v>
      </c>
      <c r="E18" s="51">
        <f>+'Other Revenue'!F14</f>
        <v>338855.96825600008</v>
      </c>
      <c r="F18" s="51">
        <f>+'Other Revenue'!G14</f>
        <v>351462.76698624005</v>
      </c>
      <c r="G18" s="51">
        <f>+'Other Revenue'!H14</f>
        <v>364573.83766568964</v>
      </c>
    </row>
    <row r="19" spans="1:8" x14ac:dyDescent="0.25">
      <c r="A19" s="9" t="s">
        <v>287</v>
      </c>
      <c r="B19" s="50">
        <v>100156</v>
      </c>
      <c r="C19" s="51">
        <v>225000</v>
      </c>
      <c r="D19" s="51">
        <v>225000</v>
      </c>
      <c r="E19" s="51">
        <v>225000</v>
      </c>
      <c r="F19" s="51">
        <v>225000</v>
      </c>
      <c r="G19" s="51">
        <v>225000</v>
      </c>
    </row>
    <row r="20" spans="1:8" x14ac:dyDescent="0.25">
      <c r="B20" s="46" t="s">
        <v>121</v>
      </c>
      <c r="C20" s="46" t="s">
        <v>121</v>
      </c>
      <c r="D20" s="46" t="s">
        <v>121</v>
      </c>
      <c r="E20" s="46" t="s">
        <v>121</v>
      </c>
      <c r="F20" s="46" t="s">
        <v>121</v>
      </c>
      <c r="G20" s="46" t="s">
        <v>121</v>
      </c>
    </row>
    <row r="21" spans="1:8" x14ac:dyDescent="0.25">
      <c r="A21" s="9" t="s">
        <v>127</v>
      </c>
      <c r="B21" s="45">
        <f>SUM(B12:B19)</f>
        <v>30870240.379999999</v>
      </c>
      <c r="C21" s="45">
        <f t="shared" ref="C21:G21" si="2">SUM(C12:C19)</f>
        <v>31383210.412599999</v>
      </c>
      <c r="D21" s="45">
        <f t="shared" si="2"/>
        <v>34160514.086574003</v>
      </c>
      <c r="E21" s="45">
        <f t="shared" si="2"/>
        <v>37255860.264045894</v>
      </c>
      <c r="F21" s="45">
        <f t="shared" si="2"/>
        <v>40434579.192257836</v>
      </c>
      <c r="G21" s="45">
        <f t="shared" si="2"/>
        <v>42565335.382118203</v>
      </c>
      <c r="H21" s="69"/>
    </row>
    <row r="22" spans="1:8" x14ac:dyDescent="0.25">
      <c r="C22" s="42"/>
      <c r="D22" s="42"/>
      <c r="E22" s="42"/>
      <c r="F22" s="42"/>
      <c r="G22" s="42"/>
    </row>
    <row r="23" spans="1:8" x14ac:dyDescent="0.25">
      <c r="A23" s="9" t="s">
        <v>392</v>
      </c>
      <c r="B23" s="45">
        <v>1888896</v>
      </c>
      <c r="C23" s="233">
        <v>1250000</v>
      </c>
      <c r="D23" s="233">
        <f>+C23</f>
        <v>1250000</v>
      </c>
      <c r="E23" s="233">
        <f>+D23</f>
        <v>1250000</v>
      </c>
      <c r="F23" s="233">
        <f>+E23</f>
        <v>1250000</v>
      </c>
      <c r="G23" s="233">
        <f>+F23</f>
        <v>1250000</v>
      </c>
    </row>
    <row r="24" spans="1:8" x14ac:dyDescent="0.25">
      <c r="B24" s="46" t="s">
        <v>121</v>
      </c>
      <c r="C24" s="46" t="s">
        <v>121</v>
      </c>
      <c r="D24" s="46" t="s">
        <v>121</v>
      </c>
      <c r="E24" s="46" t="s">
        <v>121</v>
      </c>
      <c r="F24" s="46" t="s">
        <v>121</v>
      </c>
      <c r="G24" s="46" t="s">
        <v>121</v>
      </c>
    </row>
    <row r="25" spans="1:8" x14ac:dyDescent="0.25">
      <c r="C25" s="42"/>
      <c r="D25" s="42"/>
      <c r="E25" s="42"/>
      <c r="F25" s="42"/>
      <c r="G25" s="42"/>
    </row>
    <row r="26" spans="1:8" x14ac:dyDescent="0.25">
      <c r="A26" s="9" t="s">
        <v>244</v>
      </c>
      <c r="B26" s="234">
        <f>+B21+B23</f>
        <v>32759136.379999999</v>
      </c>
      <c r="C26" s="234">
        <f t="shared" ref="C26:G26" si="3">+C21+C23</f>
        <v>32633210.412599999</v>
      </c>
      <c r="D26" s="234">
        <f t="shared" si="3"/>
        <v>35410514.086574003</v>
      </c>
      <c r="E26" s="234">
        <f t="shared" si="3"/>
        <v>38505860.264045894</v>
      </c>
      <c r="F26" s="234">
        <f t="shared" si="3"/>
        <v>41684579.192257836</v>
      </c>
      <c r="G26" s="234">
        <f t="shared" si="3"/>
        <v>43815335.382118203</v>
      </c>
    </row>
    <row r="27" spans="1:8" x14ac:dyDescent="0.25">
      <c r="B27" s="48"/>
      <c r="C27" s="42"/>
      <c r="D27" s="42"/>
      <c r="E27" s="42"/>
      <c r="F27" s="42"/>
      <c r="G27" s="42"/>
    </row>
    <row r="28" spans="1:8" x14ac:dyDescent="0.25">
      <c r="A28" s="49" t="s">
        <v>128</v>
      </c>
      <c r="B28" s="48"/>
      <c r="C28" s="42"/>
      <c r="D28" s="42"/>
      <c r="E28" s="42"/>
      <c r="F28" s="42"/>
      <c r="G28" s="42"/>
    </row>
    <row r="29" spans="1:8" x14ac:dyDescent="0.25">
      <c r="A29" s="9" t="s">
        <v>88</v>
      </c>
      <c r="B29" s="51">
        <f>+'Expenses by Object'!D11</f>
        <v>18474824.030000001</v>
      </c>
      <c r="C29" s="51">
        <f>+'Expenses by Object'!F11</f>
        <v>18779958.050000001</v>
      </c>
      <c r="D29" s="51">
        <f>+'Expenses by Object'!G11</f>
        <v>19678818.642899998</v>
      </c>
      <c r="E29" s="51">
        <f>+'Expenses by Object'!H11</f>
        <v>20624056.057989001</v>
      </c>
      <c r="F29" s="51">
        <f>+'Expenses by Object'!I11</f>
        <v>21618288.550872453</v>
      </c>
      <c r="G29" s="51">
        <f>+'Expenses by Object'!J11</f>
        <v>22664296.631539453</v>
      </c>
    </row>
    <row r="30" spans="1:8" x14ac:dyDescent="0.25">
      <c r="A30" s="9" t="s">
        <v>3</v>
      </c>
      <c r="B30" s="51">
        <f>+'Expenses by Object'!D89</f>
        <v>2052264.13</v>
      </c>
      <c r="C30" s="51">
        <f>+'Expenses by Object'!F89</f>
        <v>2159472.91</v>
      </c>
      <c r="D30" s="51">
        <f>+'Expenses by Object'!G89</f>
        <v>2355260.2010000004</v>
      </c>
      <c r="E30" s="51">
        <f>+'Expenses by Object'!H89</f>
        <v>2569215.0211000005</v>
      </c>
      <c r="F30" s="51">
        <f>+'Expenses by Object'!I89</f>
        <v>2803055.3392100004</v>
      </c>
      <c r="G30" s="51">
        <f>+'Expenses by Object'!J89</f>
        <v>3058664.0062510003</v>
      </c>
    </row>
    <row r="31" spans="1:8" x14ac:dyDescent="0.25">
      <c r="A31" s="9" t="s">
        <v>89</v>
      </c>
      <c r="B31" s="51">
        <f>+'Expenses by Object'!D97</f>
        <v>1471143.03</v>
      </c>
      <c r="C31" s="51">
        <f>+'Expenses by Object'!F97</f>
        <v>1615000</v>
      </c>
      <c r="D31" s="51">
        <f>+'Expenses by Object'!G97</f>
        <v>1736125</v>
      </c>
      <c r="E31" s="51">
        <f>+'Expenses by Object'!H97</f>
        <v>1866334.375</v>
      </c>
      <c r="F31" s="51">
        <f>+'Expenses by Object'!I97</f>
        <v>2062299.484375</v>
      </c>
      <c r="G31" s="51">
        <f>+'Expenses by Object'!J97</f>
        <v>2278840.9302343749</v>
      </c>
    </row>
    <row r="32" spans="1:8" x14ac:dyDescent="0.25">
      <c r="A32" s="9" t="s">
        <v>90</v>
      </c>
      <c r="B32" s="51">
        <f>+'Expenses by Object'!D83</f>
        <v>8097330.3200000012</v>
      </c>
      <c r="C32" s="51">
        <f>+'Expenses by Object'!F83</f>
        <v>9220308.5499999989</v>
      </c>
      <c r="D32" s="51">
        <f>+'Expenses by Object'!G83</f>
        <v>9769695.3710999992</v>
      </c>
      <c r="E32" s="51">
        <f>+'Expenses by Object'!H83</f>
        <v>10370526.322032999</v>
      </c>
      <c r="F32" s="51">
        <f>+'Expenses by Object'!I83</f>
        <v>11040984.64030752</v>
      </c>
      <c r="G32" s="51">
        <f>+'Expenses by Object'!J83</f>
        <v>11761006.500085849</v>
      </c>
    </row>
    <row r="33" spans="1:7" x14ac:dyDescent="0.25">
      <c r="A33" s="9" t="s">
        <v>277</v>
      </c>
      <c r="B33" s="51">
        <f>'Expenses by Object'!D92</f>
        <v>0</v>
      </c>
      <c r="C33" s="51">
        <f>'Expenses by Object'!F92</f>
        <v>13900</v>
      </c>
      <c r="D33" s="51">
        <f>'Expenses by Object'!G92</f>
        <v>200000</v>
      </c>
      <c r="E33" s="51">
        <f>'Expenses by Object'!H92</f>
        <v>200000</v>
      </c>
      <c r="F33" s="51">
        <f>'Expenses by Object'!I92</f>
        <v>200000</v>
      </c>
      <c r="G33" s="51">
        <f>'Expenses by Object'!J92</f>
        <v>200000</v>
      </c>
    </row>
    <row r="34" spans="1:7" x14ac:dyDescent="0.25">
      <c r="B34" s="46" t="s">
        <v>121</v>
      </c>
      <c r="C34" s="46" t="s">
        <v>121</v>
      </c>
      <c r="D34" s="46" t="s">
        <v>121</v>
      </c>
      <c r="E34" s="46" t="s">
        <v>121</v>
      </c>
      <c r="F34" s="46" t="s">
        <v>121</v>
      </c>
      <c r="G34" s="46" t="s">
        <v>121</v>
      </c>
    </row>
    <row r="35" spans="1:7" x14ac:dyDescent="0.25">
      <c r="A35" s="9" t="s">
        <v>129</v>
      </c>
      <c r="B35" s="50">
        <f>SUM(B28:B33)</f>
        <v>30095561.510000002</v>
      </c>
      <c r="C35" s="50">
        <f>SUM(C28:C33)</f>
        <v>31788639.509999998</v>
      </c>
      <c r="D35" s="50">
        <f>SUM(D28:D32)</f>
        <v>33539899.214999996</v>
      </c>
      <c r="E35" s="50">
        <f>SUM(E28:E32)</f>
        <v>35430131.776122004</v>
      </c>
      <c r="F35" s="50">
        <f>SUM(F28:F32)</f>
        <v>37524628.014764972</v>
      </c>
      <c r="G35" s="50">
        <f>SUM(G28:G32)</f>
        <v>39762808.068110675</v>
      </c>
    </row>
    <row r="36" spans="1:7" x14ac:dyDescent="0.25">
      <c r="B36" s="51"/>
      <c r="C36" s="51"/>
      <c r="D36" s="51"/>
      <c r="E36" s="51"/>
      <c r="F36" s="51"/>
      <c r="G36" s="42"/>
    </row>
    <row r="37" spans="1:7" s="16" customFormat="1" ht="14.25" x14ac:dyDescent="0.2">
      <c r="A37" s="52" t="s">
        <v>130</v>
      </c>
      <c r="B37" s="235">
        <f>+B26-B35</f>
        <v>2663574.8699999973</v>
      </c>
      <c r="C37" s="235">
        <f t="shared" ref="C37:G37" si="4">+C26-C35</f>
        <v>844570.90260000154</v>
      </c>
      <c r="D37" s="235">
        <f t="shared" si="4"/>
        <v>1870614.871574007</v>
      </c>
      <c r="E37" s="235">
        <f t="shared" si="4"/>
        <v>3075728.4879238904</v>
      </c>
      <c r="F37" s="235">
        <f t="shared" si="4"/>
        <v>4159951.1774928644</v>
      </c>
      <c r="G37" s="235">
        <f t="shared" si="4"/>
        <v>4052527.3140075281</v>
      </c>
    </row>
    <row r="38" spans="1:7" x14ac:dyDescent="0.25">
      <c r="C38" s="42"/>
      <c r="D38" s="42"/>
      <c r="E38" s="42"/>
      <c r="F38" s="42"/>
      <c r="G38" s="42"/>
    </row>
    <row r="39" spans="1:7" x14ac:dyDescent="0.25">
      <c r="A39" s="49" t="s">
        <v>131</v>
      </c>
      <c r="C39" s="42"/>
      <c r="D39" s="42"/>
      <c r="E39" s="42"/>
      <c r="F39" s="42"/>
      <c r="G39" s="42"/>
    </row>
    <row r="40" spans="1:7" ht="13.5" customHeight="1" x14ac:dyDescent="0.25">
      <c r="A40" s="9" t="s">
        <v>123</v>
      </c>
      <c r="B40" s="50">
        <f>'Grant Revenue'!B21</f>
        <v>209368.77</v>
      </c>
      <c r="C40" s="50">
        <v>268577</v>
      </c>
      <c r="D40" s="50">
        <v>268577</v>
      </c>
      <c r="E40" s="50">
        <v>268577</v>
      </c>
      <c r="F40" s="50">
        <v>268577</v>
      </c>
      <c r="G40" s="50">
        <v>268577</v>
      </c>
    </row>
    <row r="41" spans="1:7" ht="13.5" customHeight="1" x14ac:dyDescent="0.25">
      <c r="A41" s="9" t="s">
        <v>395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</row>
    <row r="42" spans="1:7" ht="13.5" customHeight="1" x14ac:dyDescent="0.25">
      <c r="A42" s="9" t="s">
        <v>396</v>
      </c>
      <c r="B42" s="50">
        <f>312+60336</f>
        <v>60648</v>
      </c>
      <c r="C42" s="51">
        <v>250000</v>
      </c>
      <c r="D42" s="51">
        <v>250000</v>
      </c>
      <c r="E42" s="51">
        <v>250000</v>
      </c>
      <c r="F42" s="51">
        <v>250000</v>
      </c>
      <c r="G42" s="50">
        <v>250000</v>
      </c>
    </row>
    <row r="43" spans="1:7" x14ac:dyDescent="0.25">
      <c r="A43" s="9" t="s">
        <v>443</v>
      </c>
      <c r="B43" s="50">
        <v>-739353</v>
      </c>
      <c r="C43" s="50">
        <v>-700000</v>
      </c>
      <c r="D43" s="50">
        <v>-100000</v>
      </c>
      <c r="E43" s="50">
        <v>-50000</v>
      </c>
      <c r="F43" s="50">
        <v>0</v>
      </c>
      <c r="G43" s="50">
        <v>0</v>
      </c>
    </row>
    <row r="44" spans="1:7" x14ac:dyDescent="0.25">
      <c r="A44" s="9" t="s">
        <v>397</v>
      </c>
      <c r="B44" s="50">
        <f>-SUM('Expenses by Object'!C105:C106)</f>
        <v>-1113060</v>
      </c>
      <c r="C44" s="51">
        <f>-'Expenses by Object'!F122-'Expenses by Object'!F123</f>
        <v>-1047784.0544</v>
      </c>
      <c r="D44" s="51">
        <f>-'Expenses by Object'!G122-'Expenses by Object'!G123</f>
        <v>-990093.19640000002</v>
      </c>
      <c r="E44" s="51">
        <f>-'Expenses by Object'!H122-'Expenses by Object'!H123</f>
        <v>-1693470.1964</v>
      </c>
      <c r="F44" s="51">
        <f>-'Expenses by Object'!I122-'Expenses by Object'!I123</f>
        <v>-1696987.1964</v>
      </c>
      <c r="G44" s="51">
        <f>-'Expenses by Object'!J122-'Expenses by Object'!J123</f>
        <v>-1700653.1964</v>
      </c>
    </row>
    <row r="45" spans="1:7" x14ac:dyDescent="0.25">
      <c r="B45" s="46" t="s">
        <v>121</v>
      </c>
      <c r="C45" s="46" t="s">
        <v>121</v>
      </c>
      <c r="D45" s="46" t="s">
        <v>121</v>
      </c>
      <c r="E45" s="46" t="s">
        <v>121</v>
      </c>
      <c r="F45" s="46" t="s">
        <v>121</v>
      </c>
      <c r="G45" s="46" t="s">
        <v>121</v>
      </c>
    </row>
    <row r="46" spans="1:7" x14ac:dyDescent="0.25">
      <c r="A46" s="9" t="s">
        <v>132</v>
      </c>
      <c r="B46" s="50">
        <f t="shared" ref="B46:G46" si="5">SUM(B37:B44)</f>
        <v>1081178.6399999973</v>
      </c>
      <c r="C46" s="50">
        <f t="shared" si="5"/>
        <v>-384636.15179999848</v>
      </c>
      <c r="D46" s="50">
        <f t="shared" si="5"/>
        <v>1299098.675174007</v>
      </c>
      <c r="E46" s="50">
        <f t="shared" si="5"/>
        <v>1850835.2915238903</v>
      </c>
      <c r="F46" s="50">
        <f t="shared" si="5"/>
        <v>2981540.9810928646</v>
      </c>
      <c r="G46" s="50">
        <f t="shared" si="5"/>
        <v>2870451.1176075283</v>
      </c>
    </row>
    <row r="47" spans="1:7" x14ac:dyDescent="0.25">
      <c r="B47" s="51"/>
      <c r="C47" s="51"/>
      <c r="D47" s="51"/>
      <c r="E47" s="51"/>
      <c r="F47" s="51"/>
      <c r="G47" s="42"/>
    </row>
    <row r="48" spans="1:7" x14ac:dyDescent="0.25">
      <c r="A48" s="9" t="s">
        <v>133</v>
      </c>
      <c r="B48" s="50">
        <v>35165309</v>
      </c>
      <c r="C48" s="51">
        <f>+B50</f>
        <v>36246487.640000001</v>
      </c>
      <c r="D48" s="51">
        <f>+C50</f>
        <v>35861851.488200001</v>
      </c>
      <c r="E48" s="51">
        <f>+D50</f>
        <v>37160950.163374007</v>
      </c>
      <c r="F48" s="51">
        <f>+E50</f>
        <v>39011785.454897895</v>
      </c>
      <c r="G48" s="51">
        <f>+F50</f>
        <v>41993326.435990758</v>
      </c>
    </row>
    <row r="49" spans="1:7" x14ac:dyDescent="0.25">
      <c r="B49" s="236" t="s">
        <v>121</v>
      </c>
      <c r="C49" s="46" t="s">
        <v>121</v>
      </c>
      <c r="D49" s="46" t="s">
        <v>121</v>
      </c>
      <c r="E49" s="46" t="s">
        <v>121</v>
      </c>
      <c r="F49" s="46" t="s">
        <v>121</v>
      </c>
      <c r="G49" s="46" t="s">
        <v>121</v>
      </c>
    </row>
    <row r="50" spans="1:7" ht="30" x14ac:dyDescent="0.25">
      <c r="A50" s="166" t="s">
        <v>391</v>
      </c>
      <c r="B50" s="237">
        <f>+B46+B48</f>
        <v>36246487.640000001</v>
      </c>
      <c r="C50" s="233">
        <f>SUM(C46:C49)</f>
        <v>35861851.488200001</v>
      </c>
      <c r="D50" s="233">
        <f>SUM(D46:D49)</f>
        <v>37160950.163374007</v>
      </c>
      <c r="E50" s="233">
        <f>SUM(E46:E49)</f>
        <v>39011785.454897895</v>
      </c>
      <c r="F50" s="233">
        <f>SUM(F46:F49)</f>
        <v>41993326.435990758</v>
      </c>
      <c r="G50" s="233">
        <f>SUM(G46:G49)</f>
        <v>44863777.553598285</v>
      </c>
    </row>
    <row r="51" spans="1:7" x14ac:dyDescent="0.25">
      <c r="B51" s="46" t="s">
        <v>134</v>
      </c>
      <c r="C51" s="46" t="s">
        <v>134</v>
      </c>
      <c r="D51" s="46" t="s">
        <v>134</v>
      </c>
      <c r="E51" s="46" t="s">
        <v>134</v>
      </c>
      <c r="F51" s="46" t="s">
        <v>134</v>
      </c>
      <c r="G51" s="46" t="s">
        <v>134</v>
      </c>
    </row>
    <row r="52" spans="1:7" x14ac:dyDescent="0.25">
      <c r="C52" s="42"/>
      <c r="D52" s="42"/>
      <c r="E52" s="42"/>
      <c r="F52" s="42"/>
      <c r="G52" s="42"/>
    </row>
    <row r="53" spans="1:7" x14ac:dyDescent="0.25">
      <c r="A53" s="1" t="s">
        <v>401</v>
      </c>
      <c r="B53" s="196">
        <f>-SUM('Expenses by Object'!C107:C109)</f>
        <v>-456842.06</v>
      </c>
      <c r="C53" s="196">
        <f>-'Debt Service'!B8</f>
        <v>-700079.55</v>
      </c>
      <c r="D53" s="196">
        <f>-'Debt Service'!C8</f>
        <v>-1122815.0650000002</v>
      </c>
      <c r="E53" s="196">
        <f>-'Debt Service'!D8</f>
        <v>-1181712.5</v>
      </c>
      <c r="F53" s="196">
        <f>-'Debt Service'!E8</f>
        <v>-1143887.5</v>
      </c>
      <c r="G53" s="196">
        <f>-'Debt Service'!F8</f>
        <v>-1105000</v>
      </c>
    </row>
    <row r="54" spans="1:7" x14ac:dyDescent="0.25">
      <c r="A54" s="1" t="s">
        <v>402</v>
      </c>
      <c r="B54" s="196">
        <f>-'Bond Principal'!C11-'Bond Principal'!J11</f>
        <v>-580000</v>
      </c>
      <c r="C54" s="196">
        <f>-'Bond Principal'!C12-'Bond Principal'!J12</f>
        <v>-680000</v>
      </c>
      <c r="D54" s="196">
        <f>-'Bond Principal'!C13-'Bond Principal'!J13</f>
        <v>-1235000</v>
      </c>
      <c r="E54" s="196">
        <f>-'Bond Principal'!C14-'Bond Principal'!J14</f>
        <v>-890000</v>
      </c>
      <c r="F54" s="196">
        <f>-'Bond Principal'!C15-'Bond Principal'!J15</f>
        <v>-915000</v>
      </c>
      <c r="G54" s="196">
        <f>-'Bond Principal'!C16-'Bond Principal'!J16</f>
        <v>-945000</v>
      </c>
    </row>
    <row r="55" spans="1:7" x14ac:dyDescent="0.25">
      <c r="B55" s="196"/>
      <c r="C55" s="196"/>
      <c r="D55" s="196"/>
      <c r="E55" s="196"/>
      <c r="F55" s="196"/>
      <c r="G55" s="196"/>
    </row>
    <row r="56" spans="1:7" x14ac:dyDescent="0.25">
      <c r="B56" s="167"/>
      <c r="C56" s="42"/>
      <c r="D56" s="42"/>
      <c r="E56" s="42"/>
      <c r="F56" s="42"/>
      <c r="G56" s="42"/>
    </row>
    <row r="57" spans="1:7" ht="15.75" thickBot="1" x14ac:dyDescent="0.3">
      <c r="A57" s="1" t="s">
        <v>403</v>
      </c>
      <c r="B57" s="170">
        <f>SUM(B46+SUM(B53:B55))</f>
        <v>44336.579999997281</v>
      </c>
      <c r="C57" s="170">
        <f t="shared" ref="C57:G57" si="6">SUM(C46+SUM(C53:C55))</f>
        <v>-1764715.7017999985</v>
      </c>
      <c r="D57" s="170">
        <f t="shared" si="6"/>
        <v>-1058716.3898259935</v>
      </c>
      <c r="E57" s="170">
        <f t="shared" si="6"/>
        <v>-220877.20847610966</v>
      </c>
      <c r="F57" s="170">
        <f t="shared" si="6"/>
        <v>922653.48109286465</v>
      </c>
      <c r="G57" s="170">
        <f t="shared" si="6"/>
        <v>820451.11760752834</v>
      </c>
    </row>
    <row r="58" spans="1:7" x14ac:dyDescent="0.25">
      <c r="B58" s="167"/>
    </row>
    <row r="59" spans="1:7" x14ac:dyDescent="0.25">
      <c r="B59" s="167"/>
    </row>
    <row r="60" spans="1:7" x14ac:dyDescent="0.25">
      <c r="B60" s="167"/>
    </row>
    <row r="61" spans="1:7" x14ac:dyDescent="0.25">
      <c r="A61" s="252" t="s">
        <v>451</v>
      </c>
      <c r="B61" s="253">
        <f>+B46+B53</f>
        <v>624336.57999999728</v>
      </c>
      <c r="C61" s="253">
        <f t="shared" ref="C61:G61" si="7">+C46+C53</f>
        <v>-1084715.7017999985</v>
      </c>
      <c r="D61" s="253">
        <f t="shared" si="7"/>
        <v>176283.61017400678</v>
      </c>
      <c r="E61" s="253">
        <f t="shared" si="7"/>
        <v>669122.79152389034</v>
      </c>
      <c r="F61" s="253">
        <f t="shared" si="7"/>
        <v>1837653.4810928646</v>
      </c>
      <c r="G61" s="253">
        <f t="shared" si="7"/>
        <v>1765451.1176075283</v>
      </c>
    </row>
    <row r="62" spans="1:7" x14ac:dyDescent="0.25">
      <c r="A62" s="1" t="s">
        <v>398</v>
      </c>
      <c r="B62" s="167">
        <v>624339</v>
      </c>
    </row>
    <row r="63" spans="1:7" x14ac:dyDescent="0.25">
      <c r="B63" s="167"/>
    </row>
    <row r="64" spans="1:7" x14ac:dyDescent="0.25">
      <c r="A64" s="24" t="s">
        <v>399</v>
      </c>
      <c r="B64" s="167">
        <f>+B61-B62</f>
        <v>-2.4200000027194619</v>
      </c>
      <c r="C64" s="32" t="s">
        <v>400</v>
      </c>
    </row>
  </sheetData>
  <mergeCells count="1">
    <mergeCell ref="C3:F3"/>
  </mergeCells>
  <phoneticPr fontId="8" type="noConversion"/>
  <printOptions gridLines="1"/>
  <pageMargins left="0.75" right="0.25" top="0.25" bottom="0.5" header="0.5" footer="0.5"/>
  <pageSetup scale="90" orientation="landscape" r:id="rId1"/>
  <headerFooter alignWithMargins="0">
    <oddFooter>&amp;L&amp;Z&amp;F&amp;F&amp;A</oddFooter>
  </headerFooter>
  <rowBreaks count="1" manualBreakCount="1">
    <brk id="1163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9" activeCellId="2" sqref="A4 A6 A9"/>
    </sheetView>
  </sheetViews>
  <sheetFormatPr defaultRowHeight="12.75" x14ac:dyDescent="0.2"/>
  <cols>
    <col min="1" max="1" width="47.140625" bestFit="1" customWidth="1"/>
    <col min="2" max="2" width="8.85546875" bestFit="1" customWidth="1"/>
    <col min="3" max="3" width="10.42578125" bestFit="1" customWidth="1"/>
    <col min="4" max="8" width="10.28515625" bestFit="1" customWidth="1"/>
  </cols>
  <sheetData>
    <row r="1" spans="1:8" ht="15" x14ac:dyDescent="0.25">
      <c r="A1" s="1"/>
      <c r="B1" s="1"/>
      <c r="C1" s="40" t="s">
        <v>81</v>
      </c>
      <c r="D1" s="34" t="s">
        <v>109</v>
      </c>
      <c r="E1" s="34" t="s">
        <v>109</v>
      </c>
      <c r="F1" s="34" t="s">
        <v>109</v>
      </c>
      <c r="G1" s="34" t="s">
        <v>109</v>
      </c>
      <c r="H1" s="34" t="s">
        <v>109</v>
      </c>
    </row>
    <row r="2" spans="1:8" ht="15" x14ac:dyDescent="0.25">
      <c r="A2" s="1"/>
      <c r="B2" s="1"/>
      <c r="C2" s="7" t="s">
        <v>82</v>
      </c>
      <c r="D2" s="34" t="s">
        <v>104</v>
      </c>
      <c r="E2" s="34" t="s">
        <v>105</v>
      </c>
      <c r="F2" s="34" t="s">
        <v>106</v>
      </c>
      <c r="G2" s="34" t="s">
        <v>107</v>
      </c>
      <c r="H2" s="34" t="s">
        <v>108</v>
      </c>
    </row>
    <row r="3" spans="1:8" ht="15" x14ac:dyDescent="0.25">
      <c r="A3" s="9" t="s">
        <v>453</v>
      </c>
      <c r="B3" s="1"/>
      <c r="C3" s="3"/>
      <c r="D3" s="35"/>
      <c r="E3" s="35"/>
      <c r="F3" s="35"/>
      <c r="G3" s="35"/>
      <c r="H3" s="35"/>
    </row>
    <row r="4" spans="1:8" ht="15" x14ac:dyDescent="0.25">
      <c r="A4" s="254" t="s">
        <v>58</v>
      </c>
      <c r="B4" s="199"/>
      <c r="C4" s="251"/>
      <c r="D4" s="41"/>
      <c r="E4" s="41"/>
      <c r="F4" s="41"/>
      <c r="G4" s="41"/>
      <c r="H4" s="41"/>
    </row>
    <row r="5" spans="1:8" s="218" customFormat="1" ht="15" x14ac:dyDescent="0.25">
      <c r="A5" s="255" t="s">
        <v>58</v>
      </c>
      <c r="B5" s="199">
        <v>1845236</v>
      </c>
      <c r="C5" s="37">
        <v>0.03</v>
      </c>
      <c r="D5" s="41">
        <v>55000</v>
      </c>
      <c r="E5" s="41">
        <f>+D5*(1+$C$5)</f>
        <v>56650</v>
      </c>
      <c r="F5" s="41">
        <f t="shared" ref="F5:H5" si="0">+E5*(1+$C$5)</f>
        <v>58349.5</v>
      </c>
      <c r="G5" s="41">
        <f t="shared" si="0"/>
        <v>60099.985000000001</v>
      </c>
      <c r="H5" s="41">
        <f t="shared" si="0"/>
        <v>61902.984550000001</v>
      </c>
    </row>
    <row r="6" spans="1:8" ht="15" x14ac:dyDescent="0.25">
      <c r="A6" s="254" t="s">
        <v>454</v>
      </c>
      <c r="B6" s="199"/>
      <c r="C6" s="37"/>
      <c r="D6" s="41"/>
      <c r="E6" s="41"/>
      <c r="F6" s="41"/>
      <c r="G6" s="41"/>
      <c r="H6" s="41"/>
    </row>
    <row r="7" spans="1:8" ht="15" x14ac:dyDescent="0.25">
      <c r="A7" s="255" t="s">
        <v>455</v>
      </c>
      <c r="B7" s="199">
        <v>467140</v>
      </c>
      <c r="C7" s="37">
        <v>0.04</v>
      </c>
      <c r="D7" s="41">
        <v>113000</v>
      </c>
      <c r="E7" s="41">
        <f>+D7*(1+$C$7)</f>
        <v>117520</v>
      </c>
      <c r="F7" s="41">
        <f t="shared" ref="F7:H7" si="1">+E7*(1+$C$7)</f>
        <v>122220.8</v>
      </c>
      <c r="G7" s="41">
        <f t="shared" si="1"/>
        <v>127109.63200000001</v>
      </c>
      <c r="H7" s="41">
        <f t="shared" si="1"/>
        <v>132194.01728000003</v>
      </c>
    </row>
    <row r="8" spans="1:8" ht="15" x14ac:dyDescent="0.25">
      <c r="A8" s="255" t="s">
        <v>456</v>
      </c>
      <c r="B8" s="199">
        <v>38007.839999999997</v>
      </c>
      <c r="C8" s="37">
        <v>0.04</v>
      </c>
      <c r="D8" s="41">
        <v>67000</v>
      </c>
      <c r="E8" s="41">
        <f>+D8*(1+$C$8)</f>
        <v>69680</v>
      </c>
      <c r="F8" s="41">
        <f t="shared" ref="F8:H8" si="2">+E8*(1+$C$8)</f>
        <v>72467.199999999997</v>
      </c>
      <c r="G8" s="41">
        <f t="shared" si="2"/>
        <v>75365.888000000006</v>
      </c>
      <c r="H8" s="41">
        <f t="shared" si="2"/>
        <v>78380.523520000002</v>
      </c>
    </row>
    <row r="9" spans="1:8" ht="15" x14ac:dyDescent="0.25">
      <c r="A9" s="254" t="s">
        <v>457</v>
      </c>
      <c r="B9" s="199"/>
      <c r="C9" s="37"/>
      <c r="D9" s="41"/>
      <c r="E9" s="41"/>
      <c r="F9" s="41"/>
      <c r="G9" s="41"/>
      <c r="H9" s="41"/>
    </row>
    <row r="10" spans="1:8" ht="15" x14ac:dyDescent="0.25">
      <c r="A10" s="255" t="s">
        <v>458</v>
      </c>
      <c r="B10" s="199">
        <v>200</v>
      </c>
      <c r="C10" s="37">
        <v>0.03</v>
      </c>
      <c r="D10" s="41">
        <v>65000</v>
      </c>
      <c r="E10" s="41">
        <f>+D10*(1+$C$10)</f>
        <v>66950</v>
      </c>
      <c r="F10" s="41">
        <f t="shared" ref="F10:H10" si="3">+E10*(1+$C$10)</f>
        <v>68958.5</v>
      </c>
      <c r="G10" s="41">
        <f t="shared" si="3"/>
        <v>71027.255000000005</v>
      </c>
      <c r="H10" s="41">
        <f t="shared" si="3"/>
        <v>73158.072650000002</v>
      </c>
    </row>
    <row r="11" spans="1:8" ht="15" x14ac:dyDescent="0.25">
      <c r="A11" s="255" t="s">
        <v>459</v>
      </c>
      <c r="B11" s="199">
        <v>326020.93</v>
      </c>
      <c r="C11" s="37">
        <v>0.03</v>
      </c>
      <c r="D11" s="41">
        <v>40000</v>
      </c>
      <c r="E11" s="41">
        <f>+D11*(1+$C$11)</f>
        <v>41200</v>
      </c>
      <c r="F11" s="41">
        <f t="shared" ref="F11:H11" si="4">+E11*(1+$C$11)</f>
        <v>42436</v>
      </c>
      <c r="G11" s="41">
        <f t="shared" si="4"/>
        <v>43709.08</v>
      </c>
      <c r="H11" s="41">
        <f t="shared" si="4"/>
        <v>45020.352400000003</v>
      </c>
    </row>
    <row r="12" spans="1:8" s="218" customFormat="1" ht="15" x14ac:dyDescent="0.25">
      <c r="A12" s="255" t="s">
        <v>460</v>
      </c>
      <c r="B12" s="199">
        <v>987319.85</v>
      </c>
      <c r="C12" s="37">
        <v>0.03</v>
      </c>
      <c r="D12" s="41">
        <v>140000</v>
      </c>
      <c r="E12" s="41">
        <f>+D12*(1+$C$12)</f>
        <v>144200</v>
      </c>
      <c r="F12" s="41">
        <f t="shared" ref="F12:H12" si="5">+E12*(1+$C$12)</f>
        <v>148526</v>
      </c>
      <c r="G12" s="41">
        <f t="shared" si="5"/>
        <v>152981.78</v>
      </c>
      <c r="H12" s="41">
        <f t="shared" si="5"/>
        <v>157571.2334</v>
      </c>
    </row>
    <row r="13" spans="1:8" ht="15" x14ac:dyDescent="0.25">
      <c r="A13" s="255" t="s">
        <v>89</v>
      </c>
      <c r="B13" s="199">
        <v>987320.85</v>
      </c>
      <c r="C13" s="37">
        <v>0.03</v>
      </c>
      <c r="D13" s="41">
        <v>270000</v>
      </c>
      <c r="E13" s="41">
        <f>+D13*(1+$C$13)</f>
        <v>278100</v>
      </c>
      <c r="F13" s="41">
        <f t="shared" ref="F13:H13" si="6">+E13*(1+$C$13)</f>
        <v>286443</v>
      </c>
      <c r="G13" s="41">
        <f t="shared" si="6"/>
        <v>295036.28999999998</v>
      </c>
      <c r="H13" s="41">
        <f t="shared" si="6"/>
        <v>303887.3787</v>
      </c>
    </row>
    <row r="14" spans="1:8" ht="15" x14ac:dyDescent="0.25">
      <c r="A14" s="1"/>
      <c r="B14" s="198" t="s">
        <v>121</v>
      </c>
      <c r="C14" s="18"/>
      <c r="D14" s="18"/>
      <c r="E14" s="18"/>
      <c r="F14" s="18"/>
      <c r="G14" s="18"/>
      <c r="H14" s="18"/>
    </row>
    <row r="15" spans="1:8" ht="15" x14ac:dyDescent="0.25">
      <c r="A15" s="9" t="s">
        <v>170</v>
      </c>
      <c r="B15" s="193">
        <f>SUM(B4:B13)</f>
        <v>4651245.47</v>
      </c>
      <c r="C15" s="38"/>
      <c r="D15" s="41">
        <f>SUM(D4:D13)</f>
        <v>750000</v>
      </c>
      <c r="E15" s="41">
        <f>SUM(E4:E13)</f>
        <v>774300</v>
      </c>
      <c r="F15" s="41">
        <f>SUM(F4:F13)</f>
        <v>799401</v>
      </c>
      <c r="G15" s="41">
        <f>SUM(G4:G13)</f>
        <v>825329.90999999992</v>
      </c>
      <c r="H15" s="41">
        <f>SUM(H4:H13)</f>
        <v>852114.5625</v>
      </c>
    </row>
    <row r="16" spans="1:8" ht="15" x14ac:dyDescent="0.25">
      <c r="A16" s="1"/>
      <c r="B16" s="198" t="s">
        <v>121</v>
      </c>
      <c r="C16" s="18"/>
      <c r="D16" s="18" t="s">
        <v>121</v>
      </c>
      <c r="E16" s="18" t="s">
        <v>121</v>
      </c>
      <c r="F16" s="18" t="s">
        <v>121</v>
      </c>
      <c r="G16" s="18" t="s">
        <v>121</v>
      </c>
      <c r="H16" s="18" t="s">
        <v>121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3"/>
  <sheetViews>
    <sheetView workbookViewId="0">
      <selection activeCell="A10" sqref="A10"/>
    </sheetView>
  </sheetViews>
  <sheetFormatPr defaultColWidth="8.85546875" defaultRowHeight="15" x14ac:dyDescent="0.25"/>
  <cols>
    <col min="1" max="1" width="56.140625" style="1" customWidth="1"/>
    <col min="2" max="3" width="9.140625" style="1" customWidth="1"/>
    <col min="4" max="4" width="8.85546875" style="1" customWidth="1"/>
    <col min="5" max="5" width="10.42578125" style="1" bestFit="1" customWidth="1"/>
    <col min="6" max="8" width="8.85546875" style="1" bestFit="1" customWidth="1"/>
    <col min="9" max="16384" width="8.85546875" style="1"/>
  </cols>
  <sheetData>
    <row r="1" spans="1:11" x14ac:dyDescent="0.25">
      <c r="D1" s="34" t="s">
        <v>109</v>
      </c>
      <c r="E1" s="34" t="s">
        <v>109</v>
      </c>
      <c r="F1" s="34" t="s">
        <v>109</v>
      </c>
      <c r="G1" s="34" t="s">
        <v>109</v>
      </c>
      <c r="H1" s="34" t="s">
        <v>109</v>
      </c>
      <c r="K1" s="51"/>
    </row>
    <row r="2" spans="1:11" x14ac:dyDescent="0.25">
      <c r="D2" s="34" t="s">
        <v>104</v>
      </c>
      <c r="E2" s="34" t="s">
        <v>105</v>
      </c>
      <c r="F2" s="34" t="s">
        <v>106</v>
      </c>
      <c r="G2" s="34" t="s">
        <v>107</v>
      </c>
      <c r="H2" s="34" t="s">
        <v>108</v>
      </c>
      <c r="K2" s="139"/>
    </row>
    <row r="3" spans="1:11" x14ac:dyDescent="0.25">
      <c r="A3" s="9" t="s">
        <v>182</v>
      </c>
      <c r="K3" s="51"/>
    </row>
    <row r="4" spans="1:11" x14ac:dyDescent="0.25">
      <c r="A4" s="9"/>
    </row>
    <row r="5" spans="1:11" x14ac:dyDescent="0.25">
      <c r="A5" s="66" t="s">
        <v>183</v>
      </c>
      <c r="B5" s="191">
        <v>23686</v>
      </c>
      <c r="C5" s="67">
        <v>0</v>
      </c>
      <c r="D5" s="41">
        <f t="shared" ref="D5:D11" si="0">+B5*(1+C5)</f>
        <v>23686</v>
      </c>
      <c r="E5" s="41">
        <f>+D5*(1+$C$5)</f>
        <v>23686</v>
      </c>
      <c r="F5" s="41">
        <f>+E5*(1+$C$5)</f>
        <v>23686</v>
      </c>
      <c r="G5" s="41">
        <f>+F5*(1+$C$5)</f>
        <v>23686</v>
      </c>
      <c r="H5" s="41">
        <f>+G5*(1+$C$5)</f>
        <v>23686</v>
      </c>
      <c r="J5" s="51"/>
    </row>
    <row r="6" spans="1:11" x14ac:dyDescent="0.25">
      <c r="A6" s="66" t="s">
        <v>184</v>
      </c>
      <c r="B6" s="191">
        <v>0</v>
      </c>
      <c r="C6" s="67">
        <v>0</v>
      </c>
      <c r="D6" s="41">
        <f t="shared" si="0"/>
        <v>0</v>
      </c>
      <c r="E6" s="41">
        <f t="shared" ref="E6:E11" si="1">+D6*(1+$C$5)</f>
        <v>0</v>
      </c>
      <c r="F6" s="41">
        <f>+E6*(1+$C$6)</f>
        <v>0</v>
      </c>
      <c r="G6" s="41">
        <f>+F6*(1+$C$6)</f>
        <v>0</v>
      </c>
      <c r="H6" s="41">
        <f>+G6*(1+$C$6)</f>
        <v>0</v>
      </c>
      <c r="J6" s="51"/>
    </row>
    <row r="7" spans="1:11" x14ac:dyDescent="0.25">
      <c r="A7" s="66" t="s">
        <v>258</v>
      </c>
      <c r="B7" s="191">
        <v>0</v>
      </c>
      <c r="C7" s="67">
        <v>0</v>
      </c>
      <c r="D7" s="41">
        <f t="shared" si="0"/>
        <v>0</v>
      </c>
      <c r="E7" s="41">
        <f t="shared" si="1"/>
        <v>0</v>
      </c>
      <c r="F7" s="41">
        <f>+E7*(1+$C$7)</f>
        <v>0</v>
      </c>
      <c r="G7" s="41">
        <f>+F7*(1+$C$7)</f>
        <v>0</v>
      </c>
      <c r="H7" s="41">
        <f>+G7*(1+$C$7)</f>
        <v>0</v>
      </c>
    </row>
    <row r="8" spans="1:11" x14ac:dyDescent="0.25">
      <c r="A8" s="66" t="s">
        <v>259</v>
      </c>
      <c r="B8" s="191">
        <v>185173.1</v>
      </c>
      <c r="C8" s="67">
        <v>0.04</v>
      </c>
      <c r="D8" s="41">
        <f t="shared" si="0"/>
        <v>192580.024</v>
      </c>
      <c r="E8" s="41">
        <f t="shared" si="1"/>
        <v>192580.024</v>
      </c>
      <c r="F8" s="41">
        <f>+E8*(1+$C$8)</f>
        <v>200283.22496000002</v>
      </c>
      <c r="G8" s="41">
        <f>+F8*(1+$C$8)</f>
        <v>208294.55395840004</v>
      </c>
      <c r="H8" s="41">
        <f>+G8*(1+$C$8)</f>
        <v>216626.33611673606</v>
      </c>
      <c r="J8" s="51"/>
      <c r="K8" s="51"/>
    </row>
    <row r="9" spans="1:11" x14ac:dyDescent="0.25">
      <c r="A9" s="66" t="s">
        <v>260</v>
      </c>
      <c r="B9" s="191">
        <v>89097.06</v>
      </c>
      <c r="C9" s="67">
        <v>0.04</v>
      </c>
      <c r="D9" s="41">
        <f t="shared" si="0"/>
        <v>92660.9424</v>
      </c>
      <c r="E9" s="41">
        <f t="shared" si="1"/>
        <v>92660.9424</v>
      </c>
      <c r="F9" s="41">
        <f t="shared" ref="F9:H11" si="2">+E9*(1+$C$9)</f>
        <v>96367.380096000008</v>
      </c>
      <c r="G9" s="41">
        <f t="shared" si="2"/>
        <v>100222.07529984001</v>
      </c>
      <c r="H9" s="41">
        <f t="shared" si="2"/>
        <v>104230.95831183362</v>
      </c>
      <c r="J9" s="51"/>
      <c r="K9" s="51"/>
    </row>
    <row r="10" spans="1:11" x14ac:dyDescent="0.25">
      <c r="A10" s="66" t="s">
        <v>420</v>
      </c>
      <c r="B10" s="191">
        <v>272</v>
      </c>
      <c r="C10" s="67">
        <v>0.04</v>
      </c>
      <c r="D10" s="41">
        <f t="shared" si="0"/>
        <v>282.88</v>
      </c>
      <c r="E10" s="41">
        <f t="shared" si="1"/>
        <v>282.88</v>
      </c>
      <c r="F10" s="41">
        <f t="shared" si="2"/>
        <v>294.1952</v>
      </c>
      <c r="G10" s="41">
        <f t="shared" si="2"/>
        <v>305.963008</v>
      </c>
      <c r="H10" s="41">
        <f t="shared" si="2"/>
        <v>318.20152832000002</v>
      </c>
      <c r="K10" s="139"/>
    </row>
    <row r="11" spans="1:11" x14ac:dyDescent="0.25">
      <c r="A11" s="66" t="s">
        <v>421</v>
      </c>
      <c r="B11" s="191">
        <v>17524.2</v>
      </c>
      <c r="C11" s="67">
        <v>0</v>
      </c>
      <c r="D11" s="41">
        <f t="shared" si="0"/>
        <v>17524.2</v>
      </c>
      <c r="E11" s="41">
        <f t="shared" si="1"/>
        <v>17524.2</v>
      </c>
      <c r="F11" s="41">
        <f t="shared" si="2"/>
        <v>18225.168000000001</v>
      </c>
      <c r="G11" s="41">
        <f t="shared" si="2"/>
        <v>18954.174720000003</v>
      </c>
      <c r="H11" s="41">
        <f t="shared" si="2"/>
        <v>19712.341708800002</v>
      </c>
      <c r="K11" s="139"/>
    </row>
    <row r="12" spans="1:11" x14ac:dyDescent="0.25">
      <c r="A12" s="66"/>
      <c r="B12" s="192"/>
      <c r="C12" s="67"/>
      <c r="D12" s="41"/>
      <c r="E12" s="41"/>
      <c r="F12" s="41"/>
      <c r="G12" s="41"/>
      <c r="H12" s="41"/>
      <c r="J12" s="51"/>
      <c r="K12" s="51"/>
    </row>
    <row r="13" spans="1:11" x14ac:dyDescent="0.25">
      <c r="B13" s="198" t="s">
        <v>121</v>
      </c>
      <c r="C13" s="18"/>
      <c r="D13" s="18" t="s">
        <v>121</v>
      </c>
      <c r="E13" s="18" t="s">
        <v>121</v>
      </c>
      <c r="F13" s="18" t="s">
        <v>121</v>
      </c>
      <c r="G13" s="18" t="s">
        <v>121</v>
      </c>
      <c r="H13" s="18" t="s">
        <v>121</v>
      </c>
      <c r="K13" s="139"/>
    </row>
    <row r="14" spans="1:11" x14ac:dyDescent="0.25">
      <c r="A14" s="9" t="s">
        <v>185</v>
      </c>
      <c r="B14" s="201">
        <f>SUM(B5:B13)</f>
        <v>315752.36000000004</v>
      </c>
      <c r="C14" s="68"/>
      <c r="D14" s="68">
        <f>SUM(D5:D13)</f>
        <v>326734.04640000005</v>
      </c>
      <c r="E14" s="68">
        <f>SUM(E5:E13)</f>
        <v>326734.04640000005</v>
      </c>
      <c r="F14" s="68">
        <f>SUM(F5:F13)</f>
        <v>338855.96825600008</v>
      </c>
      <c r="G14" s="68">
        <f>SUM(G5:G13)</f>
        <v>351462.76698624005</v>
      </c>
      <c r="H14" s="68">
        <f>SUM(H5:H13)</f>
        <v>364573.83766568964</v>
      </c>
      <c r="K14" s="139"/>
    </row>
    <row r="15" spans="1:11" x14ac:dyDescent="0.25">
      <c r="B15" s="198" t="s">
        <v>121</v>
      </c>
      <c r="C15" s="18"/>
      <c r="D15" s="18" t="s">
        <v>121</v>
      </c>
      <c r="E15" s="18" t="s">
        <v>121</v>
      </c>
      <c r="F15" s="18" t="s">
        <v>121</v>
      </c>
      <c r="G15" s="18" t="s">
        <v>121</v>
      </c>
      <c r="H15" s="18" t="s">
        <v>121</v>
      </c>
      <c r="K15" s="139"/>
    </row>
    <row r="16" spans="1:11" x14ac:dyDescent="0.25">
      <c r="B16" s="53"/>
      <c r="C16" s="53"/>
      <c r="K16" s="139"/>
    </row>
    <row r="17" spans="1:11" x14ac:dyDescent="0.25">
      <c r="K17" s="139"/>
    </row>
    <row r="18" spans="1:11" x14ac:dyDescent="0.25">
      <c r="K18" s="139"/>
    </row>
    <row r="19" spans="1:11" x14ac:dyDescent="0.25">
      <c r="K19" s="139"/>
    </row>
    <row r="20" spans="1:11" ht="15.75" x14ac:dyDescent="0.25">
      <c r="A20" s="126"/>
      <c r="B20" s="124"/>
      <c r="C20" s="127"/>
      <c r="D20" s="124"/>
      <c r="E20" s="128"/>
      <c r="K20" s="139"/>
    </row>
    <row r="21" spans="1:11" x14ac:dyDescent="0.25">
      <c r="A21" s="139"/>
    </row>
    <row r="22" spans="1:11" x14ac:dyDescent="0.25">
      <c r="A22" s="139"/>
    </row>
    <row r="23" spans="1:11" x14ac:dyDescent="0.25">
      <c r="A23" s="139"/>
    </row>
    <row r="24" spans="1:11" x14ac:dyDescent="0.25">
      <c r="A24" s="139"/>
    </row>
    <row r="25" spans="1:11" x14ac:dyDescent="0.25">
      <c r="A25" s="139"/>
    </row>
    <row r="26" spans="1:11" x14ac:dyDescent="0.25">
      <c r="A26" s="139"/>
    </row>
    <row r="27" spans="1:11" x14ac:dyDescent="0.25">
      <c r="A27" s="139"/>
    </row>
    <row r="28" spans="1:11" x14ac:dyDescent="0.25">
      <c r="A28" s="139"/>
    </row>
    <row r="29" spans="1:11" x14ac:dyDescent="0.25">
      <c r="A29" s="139"/>
    </row>
    <row r="30" spans="1:11" x14ac:dyDescent="0.25">
      <c r="A30" s="139"/>
    </row>
    <row r="31" spans="1:11" x14ac:dyDescent="0.25">
      <c r="A31" s="139"/>
    </row>
    <row r="32" spans="1:11" x14ac:dyDescent="0.25">
      <c r="A32" s="139"/>
    </row>
    <row r="33" spans="11:11" x14ac:dyDescent="0.25">
      <c r="K33" s="139"/>
    </row>
    <row r="34" spans="11:11" x14ac:dyDescent="0.25">
      <c r="K34" s="139"/>
    </row>
    <row r="35" spans="11:11" x14ac:dyDescent="0.25">
      <c r="K35" s="139"/>
    </row>
    <row r="36" spans="11:11" x14ac:dyDescent="0.25">
      <c r="K36" s="139"/>
    </row>
    <row r="37" spans="11:11" x14ac:dyDescent="0.25">
      <c r="K37" s="139"/>
    </row>
    <row r="38" spans="11:11" x14ac:dyDescent="0.25">
      <c r="K38" s="139"/>
    </row>
    <row r="39" spans="11:11" x14ac:dyDescent="0.25">
      <c r="K39" s="139"/>
    </row>
    <row r="40" spans="11:11" x14ac:dyDescent="0.25">
      <c r="K40" s="139"/>
    </row>
    <row r="41" spans="11:11" x14ac:dyDescent="0.25">
      <c r="K41" s="139"/>
    </row>
    <row r="42" spans="11:11" x14ac:dyDescent="0.25">
      <c r="K42" s="139"/>
    </row>
    <row r="43" spans="11:11" x14ac:dyDescent="0.25">
      <c r="K43" s="139"/>
    </row>
    <row r="44" spans="11:11" x14ac:dyDescent="0.25">
      <c r="K44" s="139"/>
    </row>
    <row r="45" spans="11:11" x14ac:dyDescent="0.25">
      <c r="K45" s="139"/>
    </row>
    <row r="46" spans="11:11" x14ac:dyDescent="0.25">
      <c r="K46" s="139"/>
    </row>
    <row r="47" spans="11:11" x14ac:dyDescent="0.25">
      <c r="K47" s="139"/>
    </row>
    <row r="48" spans="11:11" x14ac:dyDescent="0.25">
      <c r="K48" s="139"/>
    </row>
    <row r="49" spans="11:11" x14ac:dyDescent="0.25">
      <c r="K49" s="139"/>
    </row>
    <row r="50" spans="11:11" x14ac:dyDescent="0.25">
      <c r="K50" s="139"/>
    </row>
    <row r="51" spans="11:11" x14ac:dyDescent="0.25">
      <c r="K51" s="139"/>
    </row>
    <row r="52" spans="11:11" x14ac:dyDescent="0.25">
      <c r="K52" s="139"/>
    </row>
    <row r="53" spans="11:11" x14ac:dyDescent="0.25">
      <c r="K53" s="139"/>
    </row>
    <row r="54" spans="11:11" x14ac:dyDescent="0.25">
      <c r="K54" s="139"/>
    </row>
    <row r="55" spans="11:11" x14ac:dyDescent="0.25">
      <c r="K55" s="139"/>
    </row>
    <row r="56" spans="11:11" x14ac:dyDescent="0.25">
      <c r="K56" s="139"/>
    </row>
    <row r="57" spans="11:11" x14ac:dyDescent="0.25">
      <c r="K57" s="139"/>
    </row>
    <row r="58" spans="11:11" x14ac:dyDescent="0.25">
      <c r="K58" s="139"/>
    </row>
    <row r="59" spans="11:11" x14ac:dyDescent="0.25">
      <c r="K59" s="139"/>
    </row>
    <row r="60" spans="11:11" x14ac:dyDescent="0.25">
      <c r="K60" s="139"/>
    </row>
    <row r="61" spans="11:11" x14ac:dyDescent="0.25">
      <c r="K61" s="139"/>
    </row>
    <row r="62" spans="11:11" x14ac:dyDescent="0.25">
      <c r="K62" s="139"/>
    </row>
    <row r="63" spans="11:11" x14ac:dyDescent="0.25">
      <c r="K63" s="139"/>
    </row>
    <row r="64" spans="11:11" x14ac:dyDescent="0.25">
      <c r="K64" s="139"/>
    </row>
    <row r="65" spans="11:11" x14ac:dyDescent="0.25">
      <c r="K65" s="139"/>
    </row>
    <row r="66" spans="11:11" x14ac:dyDescent="0.25">
      <c r="K66" s="139"/>
    </row>
    <row r="67" spans="11:11" x14ac:dyDescent="0.25">
      <c r="K67" s="139"/>
    </row>
    <row r="68" spans="11:11" x14ac:dyDescent="0.25">
      <c r="K68" s="139"/>
    </row>
    <row r="69" spans="11:11" x14ac:dyDescent="0.25">
      <c r="K69" s="139"/>
    </row>
    <row r="70" spans="11:11" x14ac:dyDescent="0.25">
      <c r="K70" s="139"/>
    </row>
    <row r="71" spans="11:11" x14ac:dyDescent="0.25">
      <c r="K71" s="139"/>
    </row>
    <row r="72" spans="11:11" x14ac:dyDescent="0.25">
      <c r="K72" s="139"/>
    </row>
    <row r="73" spans="11:11" x14ac:dyDescent="0.25">
      <c r="K73" s="139"/>
    </row>
  </sheetData>
  <sortState ref="A1:A72">
    <sortCondition ref="A1"/>
  </sortState>
  <phoneticPr fontId="8" type="noConversion"/>
  <printOptions gridLines="1"/>
  <pageMargins left="0.75" right="0.75" top="1" bottom="1" header="0.5" footer="0.5"/>
  <pageSetup orientation="landscape"/>
  <headerFooter alignWithMargins="0">
    <oddFooter>&amp;L&amp;Z&amp;F&amp;F&amp;A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35"/>
  <sheetViews>
    <sheetView workbookViewId="0">
      <selection activeCell="C56" sqref="C56"/>
    </sheetView>
  </sheetViews>
  <sheetFormatPr defaultColWidth="8.85546875" defaultRowHeight="15" x14ac:dyDescent="0.25"/>
  <cols>
    <col min="1" max="1" width="9.42578125" style="28" bestFit="1" customWidth="1"/>
    <col min="2" max="2" width="35.28515625" style="1" customWidth="1"/>
    <col min="3" max="3" width="19.140625" style="140" customWidth="1"/>
    <col min="4" max="4" width="14.28515625" style="1" bestFit="1" customWidth="1"/>
    <col min="5" max="5" width="12.140625" style="1" bestFit="1" customWidth="1"/>
    <col min="6" max="6" width="15" style="1" bestFit="1" customWidth="1"/>
    <col min="7" max="7" width="15" style="22" bestFit="1" customWidth="1"/>
    <col min="8" max="9" width="15" style="4" bestFit="1" customWidth="1"/>
    <col min="10" max="10" width="20.28515625" style="4" bestFit="1" customWidth="1"/>
    <col min="11" max="11" width="15" style="4" bestFit="1" customWidth="1"/>
    <col min="12" max="12" width="10.42578125" style="4" bestFit="1" customWidth="1"/>
    <col min="13" max="13" width="12.140625" style="22" bestFit="1" customWidth="1"/>
    <col min="14" max="14" width="13.28515625" style="4" bestFit="1" customWidth="1"/>
    <col min="15" max="15" width="8.85546875" style="4"/>
    <col min="16" max="17" width="14.28515625" style="4" bestFit="1" customWidth="1"/>
    <col min="18" max="18" width="8.85546875" style="4"/>
    <col min="19" max="19" width="12.140625" style="4" bestFit="1" customWidth="1"/>
    <col min="20" max="21" width="8.85546875" style="4"/>
    <col min="22" max="16384" width="8.85546875" style="1"/>
  </cols>
  <sheetData>
    <row r="1" spans="1:21" x14ac:dyDescent="0.25">
      <c r="C1" s="2" t="s">
        <v>289</v>
      </c>
      <c r="D1" s="2"/>
      <c r="E1" s="3" t="s">
        <v>81</v>
      </c>
      <c r="F1" s="5">
        <v>2016</v>
      </c>
      <c r="G1" s="5">
        <f>+F1+1</f>
        <v>2017</v>
      </c>
      <c r="H1" s="5">
        <f t="shared" ref="H1:J1" si="0">+G1+1</f>
        <v>2018</v>
      </c>
      <c r="I1" s="5">
        <f t="shared" si="0"/>
        <v>2019</v>
      </c>
      <c r="J1" s="5">
        <f t="shared" si="0"/>
        <v>2020</v>
      </c>
      <c r="U1" s="1"/>
    </row>
    <row r="2" spans="1:21" x14ac:dyDescent="0.25">
      <c r="A2" s="2" t="s">
        <v>11</v>
      </c>
      <c r="B2" s="2" t="s">
        <v>12</v>
      </c>
      <c r="C2" s="6">
        <v>42185</v>
      </c>
      <c r="D2" s="6"/>
      <c r="E2" s="7" t="s">
        <v>82</v>
      </c>
      <c r="F2" s="8"/>
      <c r="G2" s="8"/>
      <c r="H2" s="8"/>
      <c r="I2" s="8"/>
      <c r="J2" s="8"/>
      <c r="U2" s="1"/>
    </row>
    <row r="3" spans="1:21" x14ac:dyDescent="0.25">
      <c r="C3" s="1"/>
      <c r="E3" s="3"/>
      <c r="F3" s="3"/>
      <c r="G3" s="4"/>
      <c r="L3"/>
      <c r="U3" s="1"/>
    </row>
    <row r="4" spans="1:21" x14ac:dyDescent="0.25">
      <c r="A4" s="2">
        <v>70100</v>
      </c>
      <c r="B4" s="9" t="s">
        <v>14</v>
      </c>
      <c r="C4" s="204">
        <v>9832951.2700000014</v>
      </c>
      <c r="D4" s="10"/>
      <c r="E4" s="247">
        <v>0.04</v>
      </c>
      <c r="F4" s="22">
        <v>9817701.9100000001</v>
      </c>
      <c r="G4" s="22">
        <f t="shared" ref="G4:G10" si="1">+(1+E4)*F4</f>
        <v>10210409.986400001</v>
      </c>
      <c r="H4" s="22">
        <f t="shared" ref="H4:J18" si="2">+(G4*$E4)+G4</f>
        <v>10618826.385856001</v>
      </c>
      <c r="I4" s="22">
        <f t="shared" si="2"/>
        <v>11043579.441290241</v>
      </c>
      <c r="J4" s="22">
        <f t="shared" si="2"/>
        <v>11485322.618941851</v>
      </c>
      <c r="K4" s="147" t="s">
        <v>306</v>
      </c>
      <c r="L4" s="2"/>
      <c r="O4" s="161" t="s">
        <v>320</v>
      </c>
      <c r="P4" s="162" t="s">
        <v>321</v>
      </c>
      <c r="Q4" s="162" t="s">
        <v>322</v>
      </c>
      <c r="U4" s="1"/>
    </row>
    <row r="5" spans="1:21" x14ac:dyDescent="0.25">
      <c r="A5" s="26">
        <v>70140</v>
      </c>
      <c r="B5" s="9" t="s">
        <v>17</v>
      </c>
      <c r="C5" s="204">
        <v>270400.62000000005</v>
      </c>
      <c r="D5" s="10"/>
      <c r="E5" s="247">
        <v>0.04</v>
      </c>
      <c r="F5" s="22">
        <v>422067</v>
      </c>
      <c r="G5" s="22">
        <f t="shared" si="1"/>
        <v>438949.68</v>
      </c>
      <c r="H5" s="22">
        <f t="shared" si="2"/>
        <v>456507.66719999997</v>
      </c>
      <c r="I5" s="22">
        <f t="shared" si="2"/>
        <v>474767.97388799995</v>
      </c>
      <c r="J5" s="22">
        <f t="shared" si="2"/>
        <v>493758.69284351997</v>
      </c>
      <c r="K5" s="147" t="s">
        <v>307</v>
      </c>
      <c r="L5" s="26"/>
      <c r="O5" s="161" t="s">
        <v>323</v>
      </c>
      <c r="P5" s="162">
        <v>4503715.42</v>
      </c>
      <c r="Q5" s="162">
        <v>9382740.458333334</v>
      </c>
      <c r="U5" s="1"/>
    </row>
    <row r="6" spans="1:21" x14ac:dyDescent="0.25">
      <c r="A6" s="26">
        <v>70146</v>
      </c>
      <c r="B6" s="9" t="s">
        <v>19</v>
      </c>
      <c r="C6" s="204">
        <v>6000</v>
      </c>
      <c r="D6" s="10"/>
      <c r="E6" s="247">
        <v>0</v>
      </c>
      <c r="F6" s="22">
        <v>6750</v>
      </c>
      <c r="G6" s="22">
        <f t="shared" si="1"/>
        <v>6750</v>
      </c>
      <c r="H6" s="22">
        <f t="shared" si="2"/>
        <v>6750</v>
      </c>
      <c r="I6" s="22">
        <f t="shared" si="2"/>
        <v>6750</v>
      </c>
      <c r="J6" s="22">
        <f t="shared" si="2"/>
        <v>6750</v>
      </c>
      <c r="K6" s="147" t="s">
        <v>308</v>
      </c>
      <c r="L6" s="26"/>
      <c r="O6" s="161" t="s">
        <v>324</v>
      </c>
      <c r="P6" s="162">
        <v>2280888.67</v>
      </c>
      <c r="Q6" s="162">
        <v>4751851.395833333</v>
      </c>
      <c r="U6" s="1"/>
    </row>
    <row r="7" spans="1:21" x14ac:dyDescent="0.25">
      <c r="A7" s="26">
        <v>70150</v>
      </c>
      <c r="B7" s="9" t="s">
        <v>20</v>
      </c>
      <c r="C7" s="204">
        <v>1210790.68</v>
      </c>
      <c r="D7" s="10"/>
      <c r="E7" s="247">
        <v>0.04</v>
      </c>
      <c r="F7" s="22">
        <v>1304674.3700000001</v>
      </c>
      <c r="G7" s="22">
        <f t="shared" si="1"/>
        <v>1356861.3448000001</v>
      </c>
      <c r="H7" s="22">
        <f t="shared" si="2"/>
        <v>1411135.798592</v>
      </c>
      <c r="I7" s="22">
        <f t="shared" si="2"/>
        <v>1467581.23053568</v>
      </c>
      <c r="J7" s="22">
        <f t="shared" si="2"/>
        <v>1526284.4797571071</v>
      </c>
      <c r="K7" s="147" t="s">
        <v>309</v>
      </c>
      <c r="L7" s="26"/>
      <c r="O7" s="161" t="s">
        <v>325</v>
      </c>
      <c r="P7" s="162">
        <v>1251908.02</v>
      </c>
      <c r="Q7" s="162">
        <v>2608141.7083333335</v>
      </c>
      <c r="U7" s="1"/>
    </row>
    <row r="8" spans="1:21" x14ac:dyDescent="0.25">
      <c r="A8" s="26">
        <v>70110</v>
      </c>
      <c r="B8" s="9" t="s">
        <v>15</v>
      </c>
      <c r="C8" s="204">
        <v>4911898.2700000005</v>
      </c>
      <c r="D8" s="10"/>
      <c r="E8" s="247">
        <v>0.05</v>
      </c>
      <c r="F8" s="22">
        <v>4707277.33</v>
      </c>
      <c r="G8" s="22">
        <f t="shared" si="1"/>
        <v>4942641.1965000005</v>
      </c>
      <c r="H8" s="22">
        <f t="shared" si="2"/>
        <v>5189773.2563250009</v>
      </c>
      <c r="I8" s="22">
        <f t="shared" si="2"/>
        <v>5449261.9191412507</v>
      </c>
      <c r="J8" s="22">
        <f t="shared" si="2"/>
        <v>5721725.0150983129</v>
      </c>
      <c r="L8" s="26"/>
      <c r="O8" s="161" t="s">
        <v>326</v>
      </c>
      <c r="P8" s="162">
        <v>116836.46999999999</v>
      </c>
      <c r="Q8" s="162">
        <v>243409.3125</v>
      </c>
      <c r="U8" s="1"/>
    </row>
    <row r="9" spans="1:21" x14ac:dyDescent="0.25">
      <c r="A9" s="26">
        <v>70130</v>
      </c>
      <c r="B9" s="9" t="s">
        <v>16</v>
      </c>
      <c r="C9" s="204">
        <v>2242783.19</v>
      </c>
      <c r="D9" s="10"/>
      <c r="E9" s="247">
        <v>0.08</v>
      </c>
      <c r="F9" s="22">
        <v>2521487.44</v>
      </c>
      <c r="G9" s="22">
        <f t="shared" si="1"/>
        <v>2723206.4352000002</v>
      </c>
      <c r="H9" s="22">
        <f t="shared" si="2"/>
        <v>2941062.9500160003</v>
      </c>
      <c r="I9" s="22">
        <f t="shared" si="2"/>
        <v>3176347.9860172803</v>
      </c>
      <c r="J9" s="22">
        <f t="shared" si="2"/>
        <v>3430455.8248986625</v>
      </c>
      <c r="L9" s="26"/>
      <c r="O9" s="161" t="s">
        <v>327</v>
      </c>
      <c r="P9" s="162">
        <v>4500</v>
      </c>
      <c r="Q9" s="162">
        <v>9375</v>
      </c>
      <c r="U9" s="1"/>
    </row>
    <row r="10" spans="1:21" x14ac:dyDescent="0.25">
      <c r="A10" s="26">
        <v>70145</v>
      </c>
      <c r="B10" s="9" t="s">
        <v>18</v>
      </c>
      <c r="C10" s="204">
        <v>0</v>
      </c>
      <c r="D10" s="10"/>
      <c r="E10" s="247">
        <v>0</v>
      </c>
      <c r="F10" s="222">
        <f t="shared" ref="F10" si="3">+C10*(1+E10)</f>
        <v>0</v>
      </c>
      <c r="G10" s="22">
        <f t="shared" si="1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L10" s="26"/>
      <c r="O10" s="161" t="s">
        <v>328</v>
      </c>
      <c r="P10" s="162">
        <v>572998.9</v>
      </c>
      <c r="Q10" s="162">
        <v>1193747.7083333333</v>
      </c>
      <c r="R10" s="163">
        <v>70360</v>
      </c>
      <c r="U10" s="1"/>
    </row>
    <row r="11" spans="1:21" s="16" customFormat="1" x14ac:dyDescent="0.25">
      <c r="A11" s="27"/>
      <c r="B11" s="12" t="s">
        <v>88</v>
      </c>
      <c r="C11" s="204"/>
      <c r="D11" s="13">
        <f>SUM(C4:C11)</f>
        <v>18474824.030000001</v>
      </c>
      <c r="E11" s="250"/>
      <c r="F11" s="246">
        <f>SUM(F4:F10)</f>
        <v>18779958.050000001</v>
      </c>
      <c r="G11" s="135">
        <f>SUM(G4:G10)</f>
        <v>19678818.642899998</v>
      </c>
      <c r="H11" s="135">
        <f>SUM(H4:H10)</f>
        <v>20624056.057989001</v>
      </c>
      <c r="I11" s="135">
        <f>SUM(I4:I10)</f>
        <v>21618288.550872453</v>
      </c>
      <c r="J11" s="135">
        <f>SUM(J4:J10)</f>
        <v>22664296.631539453</v>
      </c>
      <c r="L11" s="27"/>
      <c r="N11" s="15"/>
      <c r="O11" s="161" t="s">
        <v>329</v>
      </c>
      <c r="P11" s="162">
        <v>215772.97000000006</v>
      </c>
      <c r="Q11" s="162">
        <v>449527.02083333343</v>
      </c>
      <c r="R11" s="164">
        <v>71245</v>
      </c>
      <c r="T11" s="15"/>
    </row>
    <row r="12" spans="1:21" x14ac:dyDescent="0.25">
      <c r="A12" s="26">
        <v>70320</v>
      </c>
      <c r="B12" s="9" t="s">
        <v>24</v>
      </c>
      <c r="C12" s="204">
        <v>12672.77</v>
      </c>
      <c r="D12" s="10"/>
      <c r="E12" s="247">
        <v>7.0000000000000007E-2</v>
      </c>
      <c r="F12" s="22">
        <v>36545</v>
      </c>
      <c r="G12" s="22">
        <f t="shared" ref="G12:G68" si="4">+(1+E12)*F12</f>
        <v>39103.15</v>
      </c>
      <c r="H12" s="22">
        <f t="shared" ref="H12:J30" si="5">+(G12*$E12)+G12</f>
        <v>41840.370500000005</v>
      </c>
      <c r="I12" s="22">
        <f t="shared" si="5"/>
        <v>44769.196435000005</v>
      </c>
      <c r="J12" s="22">
        <f t="shared" si="2"/>
        <v>47903.040185450009</v>
      </c>
      <c r="L12" s="26"/>
      <c r="O12" s="161" t="s">
        <v>330</v>
      </c>
      <c r="P12" s="162">
        <v>4407</v>
      </c>
      <c r="Q12" s="162">
        <v>9181.25</v>
      </c>
      <c r="R12" s="163">
        <v>71395</v>
      </c>
      <c r="U12" s="1"/>
    </row>
    <row r="13" spans="1:21" x14ac:dyDescent="0.25">
      <c r="A13" s="26">
        <v>70330</v>
      </c>
      <c r="B13" s="9" t="s">
        <v>25</v>
      </c>
      <c r="C13" s="204">
        <v>73308.820000000007</v>
      </c>
      <c r="D13" s="10"/>
      <c r="E13" s="247">
        <v>7.0000000000000007E-2</v>
      </c>
      <c r="F13" s="22">
        <v>110125</v>
      </c>
      <c r="G13" s="22">
        <f t="shared" si="4"/>
        <v>117833.75</v>
      </c>
      <c r="H13" s="22">
        <f t="shared" si="5"/>
        <v>126082.1125</v>
      </c>
      <c r="I13" s="22">
        <f t="shared" si="5"/>
        <v>134907.86037499999</v>
      </c>
      <c r="J13" s="22">
        <f t="shared" si="2"/>
        <v>144351.41060124998</v>
      </c>
      <c r="L13" s="26"/>
      <c r="O13" s="161" t="s">
        <v>331</v>
      </c>
      <c r="P13" s="162">
        <v>27717.25</v>
      </c>
      <c r="Q13" s="162">
        <v>57744.270833333336</v>
      </c>
      <c r="R13" s="163">
        <v>73001</v>
      </c>
      <c r="U13" s="1"/>
    </row>
    <row r="14" spans="1:21" x14ac:dyDescent="0.25">
      <c r="A14" s="26">
        <v>70340</v>
      </c>
      <c r="B14" s="9" t="s">
        <v>26</v>
      </c>
      <c r="C14" s="204">
        <v>598.53</v>
      </c>
      <c r="D14" s="10"/>
      <c r="E14" s="247">
        <v>7.0000000000000007E-2</v>
      </c>
      <c r="F14" s="22">
        <v>27048</v>
      </c>
      <c r="G14" s="22">
        <f t="shared" si="4"/>
        <v>28941.360000000001</v>
      </c>
      <c r="H14" s="22">
        <f t="shared" si="5"/>
        <v>30967.2552</v>
      </c>
      <c r="I14" s="22">
        <f t="shared" si="5"/>
        <v>33134.963063999996</v>
      </c>
      <c r="J14" s="22">
        <f t="shared" si="2"/>
        <v>35454.410478479993</v>
      </c>
      <c r="L14" s="26"/>
      <c r="O14" s="161" t="s">
        <v>332</v>
      </c>
      <c r="P14" s="162">
        <v>33801.15</v>
      </c>
      <c r="Q14" s="162">
        <v>70419.0625</v>
      </c>
      <c r="R14" s="163">
        <v>73002</v>
      </c>
      <c r="U14" s="1"/>
    </row>
    <row r="15" spans="1:21" x14ac:dyDescent="0.25">
      <c r="A15" s="26">
        <v>70350</v>
      </c>
      <c r="B15" s="9" t="s">
        <v>27</v>
      </c>
      <c r="C15" s="204">
        <v>354.45000000000005</v>
      </c>
      <c r="D15" s="10"/>
      <c r="E15" s="247">
        <v>7.0000000000000007E-2</v>
      </c>
      <c r="F15" s="22">
        <v>22450</v>
      </c>
      <c r="G15" s="22">
        <f t="shared" si="4"/>
        <v>24021.5</v>
      </c>
      <c r="H15" s="22">
        <f t="shared" si="5"/>
        <v>25703.005000000001</v>
      </c>
      <c r="I15" s="22">
        <f t="shared" si="5"/>
        <v>27502.215350000002</v>
      </c>
      <c r="J15" s="22">
        <f t="shared" si="2"/>
        <v>29427.370424500004</v>
      </c>
      <c r="L15" s="26"/>
      <c r="O15" s="161" t="s">
        <v>333</v>
      </c>
      <c r="P15" s="162">
        <v>7497.01</v>
      </c>
      <c r="Q15" s="162">
        <v>15618.770833333334</v>
      </c>
      <c r="R15" s="163">
        <v>73005</v>
      </c>
      <c r="U15" s="1"/>
    </row>
    <row r="16" spans="1:21" x14ac:dyDescent="0.25">
      <c r="A16" s="26">
        <v>70360</v>
      </c>
      <c r="B16" s="9" t="s">
        <v>28</v>
      </c>
      <c r="C16" s="204">
        <v>3969512.01</v>
      </c>
      <c r="D16" s="10"/>
      <c r="E16" s="247">
        <v>0.06</v>
      </c>
      <c r="F16" s="22">
        <v>3592087.74</v>
      </c>
      <c r="G16" s="22">
        <f t="shared" si="4"/>
        <v>3807613.0044000004</v>
      </c>
      <c r="H16" s="22">
        <f t="shared" si="5"/>
        <v>4036069.7846640004</v>
      </c>
      <c r="I16" s="22">
        <f t="shared" si="5"/>
        <v>4278233.9717438407</v>
      </c>
      <c r="J16" s="22">
        <f t="shared" si="2"/>
        <v>4534928.0100484714</v>
      </c>
      <c r="L16" s="26"/>
      <c r="O16" s="161" t="s">
        <v>334</v>
      </c>
      <c r="P16" s="162">
        <v>1693398.2599999998</v>
      </c>
      <c r="Q16" s="162">
        <v>3527913.041666666</v>
      </c>
      <c r="R16" s="163">
        <v>73050</v>
      </c>
      <c r="U16" s="1"/>
    </row>
    <row r="17" spans="1:21" x14ac:dyDescent="0.25">
      <c r="A17" s="28">
        <v>70361</v>
      </c>
      <c r="B17" s="1" t="s">
        <v>233</v>
      </c>
      <c r="C17" s="204">
        <v>0</v>
      </c>
      <c r="D17" s="3"/>
      <c r="E17" s="247">
        <v>7.0000000000000007E-2</v>
      </c>
      <c r="F17" s="22">
        <v>138165.79999999999</v>
      </c>
      <c r="G17" s="22">
        <f t="shared" si="4"/>
        <v>147837.40599999999</v>
      </c>
      <c r="H17" s="22">
        <f t="shared" si="5"/>
        <v>158186.02442</v>
      </c>
      <c r="I17" s="22">
        <f t="shared" si="5"/>
        <v>169259.0461294</v>
      </c>
      <c r="J17" s="22">
        <f t="shared" si="2"/>
        <v>181107.179358458</v>
      </c>
      <c r="L17" s="138"/>
      <c r="O17" s="161" t="s">
        <v>335</v>
      </c>
      <c r="P17" s="162">
        <v>106171.51999999999</v>
      </c>
      <c r="Q17" s="162">
        <v>221190.66666666663</v>
      </c>
      <c r="R17" s="163">
        <v>83000</v>
      </c>
      <c r="T17" s="1"/>
      <c r="U17" s="1"/>
    </row>
    <row r="18" spans="1:21" x14ac:dyDescent="0.25">
      <c r="A18" s="28">
        <v>70362</v>
      </c>
      <c r="B18" s="1" t="s">
        <v>232</v>
      </c>
      <c r="C18" s="204">
        <v>0</v>
      </c>
      <c r="D18" s="3"/>
      <c r="E18" s="247">
        <v>7.0000000000000007E-2</v>
      </c>
      <c r="F18" s="22">
        <v>74213.919999999998</v>
      </c>
      <c r="G18" s="22">
        <f t="shared" si="4"/>
        <v>79408.894400000005</v>
      </c>
      <c r="H18" s="22">
        <f t="shared" si="5"/>
        <v>84967.51700800001</v>
      </c>
      <c r="I18" s="22">
        <f t="shared" si="5"/>
        <v>90915.243198560012</v>
      </c>
      <c r="J18" s="22">
        <f t="shared" si="2"/>
        <v>97279.310222459215</v>
      </c>
      <c r="L18" s="138"/>
      <c r="O18" s="161" t="s">
        <v>336</v>
      </c>
      <c r="P18" s="162">
        <v>12427.47</v>
      </c>
      <c r="Q18" s="162">
        <v>25890.5625</v>
      </c>
      <c r="T18" s="1"/>
      <c r="U18" s="1"/>
    </row>
    <row r="19" spans="1:21" x14ac:dyDescent="0.25">
      <c r="A19" s="28">
        <v>70363</v>
      </c>
      <c r="B19" s="1" t="s">
        <v>230</v>
      </c>
      <c r="C19" s="204">
        <v>0</v>
      </c>
      <c r="D19" s="3"/>
      <c r="E19" s="247">
        <v>7.0000000000000007E-2</v>
      </c>
      <c r="F19" s="22">
        <v>124919.81</v>
      </c>
      <c r="G19" s="22">
        <f t="shared" si="4"/>
        <v>133664.1967</v>
      </c>
      <c r="H19" s="22">
        <f t="shared" si="5"/>
        <v>143020.69046899999</v>
      </c>
      <c r="I19" s="22">
        <f t="shared" si="5"/>
        <v>153032.13880183001</v>
      </c>
      <c r="J19" s="22">
        <f t="shared" si="5"/>
        <v>163744.38851795811</v>
      </c>
      <c r="L19" s="138"/>
      <c r="O19" s="161" t="s">
        <v>337</v>
      </c>
      <c r="P19" s="162">
        <v>59643.01</v>
      </c>
      <c r="Q19" s="162">
        <v>124256.27083333334</v>
      </c>
      <c r="T19" s="1"/>
      <c r="U19" s="1"/>
    </row>
    <row r="20" spans="1:21" x14ac:dyDescent="0.25">
      <c r="A20" s="28">
        <v>70366</v>
      </c>
      <c r="B20" s="1" t="s">
        <v>231</v>
      </c>
      <c r="C20" s="204">
        <v>0</v>
      </c>
      <c r="D20" s="3"/>
      <c r="E20" s="247">
        <v>7.0000000000000007E-2</v>
      </c>
      <c r="F20" s="222">
        <f t="shared" ref="F20:F42" si="6">+C20*(+E20+1)</f>
        <v>0</v>
      </c>
      <c r="G20" s="22">
        <f t="shared" si="4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L20" s="138"/>
      <c r="O20" s="161" t="s">
        <v>338</v>
      </c>
      <c r="P20" s="162">
        <v>16939.089999999997</v>
      </c>
      <c r="Q20" s="162">
        <v>35289.770833333321</v>
      </c>
      <c r="T20" s="1"/>
      <c r="U20" s="1"/>
    </row>
    <row r="21" spans="1:21" x14ac:dyDescent="0.25">
      <c r="A21" s="26">
        <v>70370</v>
      </c>
      <c r="B21" s="9" t="s">
        <v>276</v>
      </c>
      <c r="C21" s="204">
        <v>0</v>
      </c>
      <c r="D21" s="10"/>
      <c r="E21" s="247">
        <v>7.0000000000000007E-2</v>
      </c>
      <c r="F21" s="22">
        <v>0</v>
      </c>
      <c r="G21" s="22">
        <f t="shared" si="4"/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L21" s="26"/>
      <c r="O21" s="161" t="s">
        <v>339</v>
      </c>
      <c r="P21" s="162">
        <v>1315.79</v>
      </c>
      <c r="Q21" s="162">
        <v>2741.2291666666665</v>
      </c>
      <c r="U21" s="1"/>
    </row>
    <row r="22" spans="1:21" x14ac:dyDescent="0.25">
      <c r="A22" s="26">
        <v>71200</v>
      </c>
      <c r="B22" s="9" t="s">
        <v>29</v>
      </c>
      <c r="C22" s="204">
        <v>108573.82</v>
      </c>
      <c r="D22" s="10"/>
      <c r="E22" s="247">
        <v>7.0000000000000007E-2</v>
      </c>
      <c r="F22" s="22">
        <v>169100</v>
      </c>
      <c r="G22" s="22">
        <f t="shared" si="4"/>
        <v>180937</v>
      </c>
      <c r="H22" s="22">
        <f t="shared" si="5"/>
        <v>193602.59</v>
      </c>
      <c r="I22" s="22">
        <f t="shared" si="5"/>
        <v>207154.77129999999</v>
      </c>
      <c r="J22" s="22">
        <f t="shared" si="5"/>
        <v>221655.60529099999</v>
      </c>
      <c r="L22" s="26"/>
      <c r="O22" s="161" t="s">
        <v>340</v>
      </c>
      <c r="P22" s="162">
        <v>57203</v>
      </c>
      <c r="Q22" s="162">
        <v>119172.91666666667</v>
      </c>
      <c r="U22" s="1"/>
    </row>
    <row r="23" spans="1:21" x14ac:dyDescent="0.25">
      <c r="A23" s="26">
        <v>71210</v>
      </c>
      <c r="B23" s="9" t="s">
        <v>30</v>
      </c>
      <c r="C23" s="204">
        <v>24754.22</v>
      </c>
      <c r="D23" s="10"/>
      <c r="E23" s="247">
        <v>7.0000000000000007E-2</v>
      </c>
      <c r="F23" s="22">
        <v>24500</v>
      </c>
      <c r="G23" s="22">
        <f t="shared" si="4"/>
        <v>26215</v>
      </c>
      <c r="H23" s="22">
        <f t="shared" si="5"/>
        <v>28050.05</v>
      </c>
      <c r="I23" s="22">
        <f t="shared" si="5"/>
        <v>30013.553499999998</v>
      </c>
      <c r="J23" s="22">
        <f t="shared" si="5"/>
        <v>32114.502245</v>
      </c>
      <c r="L23" s="26"/>
      <c r="O23" s="161" t="s">
        <v>341</v>
      </c>
      <c r="P23" s="162">
        <v>12429.68</v>
      </c>
      <c r="Q23" s="162">
        <v>25895.166666666664</v>
      </c>
      <c r="U23" s="1"/>
    </row>
    <row r="24" spans="1:21" x14ac:dyDescent="0.25">
      <c r="A24" s="26">
        <v>71220</v>
      </c>
      <c r="B24" s="9" t="s">
        <v>31</v>
      </c>
      <c r="C24" s="204">
        <v>143846.70000000001</v>
      </c>
      <c r="D24" s="10"/>
      <c r="E24" s="247">
        <v>0.05</v>
      </c>
      <c r="F24" s="22">
        <v>225850</v>
      </c>
      <c r="G24" s="22">
        <f t="shared" si="4"/>
        <v>237142.5</v>
      </c>
      <c r="H24" s="22">
        <f t="shared" si="5"/>
        <v>248999.625</v>
      </c>
      <c r="I24" s="22">
        <f t="shared" si="5"/>
        <v>261449.60625000001</v>
      </c>
      <c r="J24" s="22">
        <f t="shared" si="5"/>
        <v>274522.08656249999</v>
      </c>
      <c r="L24" s="26"/>
      <c r="O24" s="161" t="s">
        <v>342</v>
      </c>
      <c r="P24" s="162">
        <v>44885.3</v>
      </c>
      <c r="Q24" s="162">
        <v>93511.041666666672</v>
      </c>
      <c r="U24" s="1"/>
    </row>
    <row r="25" spans="1:21" x14ac:dyDescent="0.25">
      <c r="A25" s="26">
        <v>71230</v>
      </c>
      <c r="B25" s="9" t="s">
        <v>32</v>
      </c>
      <c r="C25" s="204">
        <v>30190.909999999996</v>
      </c>
      <c r="D25" s="10"/>
      <c r="E25" s="247">
        <v>0.05</v>
      </c>
      <c r="F25" s="22">
        <v>48600</v>
      </c>
      <c r="G25" s="22">
        <f t="shared" si="4"/>
        <v>51030</v>
      </c>
      <c r="H25" s="22">
        <f t="shared" si="5"/>
        <v>53581.5</v>
      </c>
      <c r="I25" s="22">
        <f t="shared" si="5"/>
        <v>56260.574999999997</v>
      </c>
      <c r="J25" s="22">
        <f t="shared" si="5"/>
        <v>59073.603749999995</v>
      </c>
      <c r="L25" s="26"/>
      <c r="O25" s="161" t="s">
        <v>343</v>
      </c>
      <c r="P25" s="162">
        <v>182.5</v>
      </c>
      <c r="Q25" s="162">
        <v>380.20833333333337</v>
      </c>
      <c r="U25" s="1"/>
    </row>
    <row r="26" spans="1:21" x14ac:dyDescent="0.25">
      <c r="A26" s="26">
        <v>71240</v>
      </c>
      <c r="B26" s="9" t="s">
        <v>33</v>
      </c>
      <c r="C26" s="204">
        <v>2664.32</v>
      </c>
      <c r="D26" s="10"/>
      <c r="E26" s="247">
        <v>0.05</v>
      </c>
      <c r="F26" s="22">
        <v>14310</v>
      </c>
      <c r="G26" s="22">
        <f t="shared" si="4"/>
        <v>15025.5</v>
      </c>
      <c r="H26" s="22">
        <f t="shared" si="5"/>
        <v>15776.775</v>
      </c>
      <c r="I26" s="22">
        <f t="shared" si="5"/>
        <v>16565.61375</v>
      </c>
      <c r="J26" s="22">
        <f t="shared" si="5"/>
        <v>17393.894437499999</v>
      </c>
      <c r="L26" s="26"/>
      <c r="O26" s="161" t="s">
        <v>344</v>
      </c>
      <c r="P26" s="162">
        <v>53343.5</v>
      </c>
      <c r="Q26" s="162">
        <v>111132.29166666667</v>
      </c>
      <c r="U26" s="1"/>
    </row>
    <row r="27" spans="1:21" x14ac:dyDescent="0.25">
      <c r="A27" s="29">
        <v>71245</v>
      </c>
      <c r="B27" s="17" t="s">
        <v>201</v>
      </c>
      <c r="C27" s="204">
        <v>32277</v>
      </c>
      <c r="D27" s="10"/>
      <c r="E27" s="247">
        <v>0.05</v>
      </c>
      <c r="F27" s="22">
        <v>61238</v>
      </c>
      <c r="G27" s="22">
        <f t="shared" si="4"/>
        <v>64299.9</v>
      </c>
      <c r="H27" s="22">
        <f t="shared" si="5"/>
        <v>67514.895000000004</v>
      </c>
      <c r="I27" s="22">
        <f t="shared" si="5"/>
        <v>70890.639750000002</v>
      </c>
      <c r="J27" s="22">
        <f t="shared" si="5"/>
        <v>74435.171737500001</v>
      </c>
      <c r="L27" s="29"/>
      <c r="O27" s="161" t="s">
        <v>345</v>
      </c>
      <c r="P27" s="162">
        <v>4208</v>
      </c>
      <c r="Q27" s="162">
        <v>8766.6666666666679</v>
      </c>
      <c r="U27" s="1"/>
    </row>
    <row r="28" spans="1:21" x14ac:dyDescent="0.25">
      <c r="A28" s="26">
        <v>71250</v>
      </c>
      <c r="B28" s="9" t="s">
        <v>34</v>
      </c>
      <c r="C28" s="204">
        <v>987</v>
      </c>
      <c r="D28" s="10"/>
      <c r="E28" s="247">
        <v>0.05</v>
      </c>
      <c r="F28" s="22">
        <v>8000</v>
      </c>
      <c r="G28" s="22">
        <v>5000</v>
      </c>
      <c r="H28" s="22">
        <v>5000</v>
      </c>
      <c r="I28" s="22">
        <v>5000</v>
      </c>
      <c r="J28" s="22">
        <v>5000</v>
      </c>
      <c r="L28" s="26"/>
      <c r="O28" s="161" t="s">
        <v>346</v>
      </c>
      <c r="P28" s="162">
        <v>83003.339999999982</v>
      </c>
      <c r="Q28" s="162">
        <v>172923.62499999997</v>
      </c>
      <c r="U28" s="1"/>
    </row>
    <row r="29" spans="1:21" x14ac:dyDescent="0.25">
      <c r="A29" s="26">
        <v>71260</v>
      </c>
      <c r="B29" s="9" t="s">
        <v>35</v>
      </c>
      <c r="C29" s="204">
        <v>92145.07</v>
      </c>
      <c r="D29" s="10"/>
      <c r="E29" s="247">
        <v>0.05</v>
      </c>
      <c r="F29" s="22">
        <v>112910</v>
      </c>
      <c r="G29" s="22">
        <f t="shared" si="4"/>
        <v>118555.5</v>
      </c>
      <c r="H29" s="22">
        <f t="shared" si="5"/>
        <v>124483.27499999999</v>
      </c>
      <c r="I29" s="22">
        <f t="shared" si="5"/>
        <v>130707.43875</v>
      </c>
      <c r="J29" s="22">
        <f t="shared" si="5"/>
        <v>137242.81068749999</v>
      </c>
      <c r="L29" s="26"/>
      <c r="O29" s="161" t="s">
        <v>347</v>
      </c>
      <c r="P29" s="162">
        <v>3280.09</v>
      </c>
      <c r="Q29" s="162">
        <v>6833.5208333333339</v>
      </c>
      <c r="U29" s="1"/>
    </row>
    <row r="30" spans="1:21" x14ac:dyDescent="0.25">
      <c r="A30" s="29">
        <v>71265</v>
      </c>
      <c r="B30" s="17" t="s">
        <v>202</v>
      </c>
      <c r="C30" s="204">
        <v>60.36</v>
      </c>
      <c r="D30" s="10"/>
      <c r="E30" s="247">
        <v>7.0000000000000007E-2</v>
      </c>
      <c r="F30" s="22">
        <v>0</v>
      </c>
      <c r="G30" s="22">
        <f t="shared" si="4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L30" s="29"/>
      <c r="O30" s="161" t="s">
        <v>348</v>
      </c>
      <c r="P30" s="162">
        <v>116120</v>
      </c>
      <c r="Q30" s="162">
        <v>241916.66666666666</v>
      </c>
      <c r="U30" s="1"/>
    </row>
    <row r="31" spans="1:21" x14ac:dyDescent="0.25">
      <c r="A31" s="26">
        <v>71270</v>
      </c>
      <c r="B31" s="9" t="s">
        <v>36</v>
      </c>
      <c r="C31" s="204">
        <v>70383.850000000006</v>
      </c>
      <c r="D31" s="10"/>
      <c r="E31" s="247">
        <v>0.05</v>
      </c>
      <c r="F31" s="22">
        <v>100730</v>
      </c>
      <c r="G31" s="22">
        <f t="shared" si="4"/>
        <v>105766.5</v>
      </c>
      <c r="H31" s="22">
        <f t="shared" ref="H31:J51" si="7">+(G31*$E31)+G31</f>
        <v>111054.825</v>
      </c>
      <c r="I31" s="22">
        <f t="shared" si="7"/>
        <v>116607.56625</v>
      </c>
      <c r="J31" s="22">
        <f t="shared" si="7"/>
        <v>122437.94456250001</v>
      </c>
      <c r="L31" s="26"/>
      <c r="O31" s="161" t="s">
        <v>349</v>
      </c>
      <c r="P31" s="162">
        <v>63207.780000000006</v>
      </c>
      <c r="Q31" s="162">
        <v>131682.875</v>
      </c>
      <c r="U31" s="1"/>
    </row>
    <row r="32" spans="1:21" x14ac:dyDescent="0.25">
      <c r="A32" s="26">
        <v>71280</v>
      </c>
      <c r="B32" s="9" t="s">
        <v>37</v>
      </c>
      <c r="C32" s="204">
        <v>32433.65</v>
      </c>
      <c r="D32" s="10"/>
      <c r="E32" s="247">
        <v>0.05</v>
      </c>
      <c r="F32" s="22">
        <v>36950</v>
      </c>
      <c r="G32" s="22">
        <f t="shared" si="4"/>
        <v>38797.5</v>
      </c>
      <c r="H32" s="22">
        <f t="shared" si="7"/>
        <v>40737.375</v>
      </c>
      <c r="I32" s="22">
        <f t="shared" si="7"/>
        <v>42774.243750000001</v>
      </c>
      <c r="J32" s="22">
        <f t="shared" si="7"/>
        <v>44912.955937500003</v>
      </c>
      <c r="L32" s="26"/>
      <c r="O32" s="161" t="s">
        <v>350</v>
      </c>
      <c r="P32" s="162">
        <v>208540.51</v>
      </c>
      <c r="Q32" s="162">
        <v>434459.39583333337</v>
      </c>
      <c r="U32" s="1"/>
    </row>
    <row r="33" spans="1:21" x14ac:dyDescent="0.25">
      <c r="A33" s="26">
        <v>71290</v>
      </c>
      <c r="B33" s="9" t="s">
        <v>38</v>
      </c>
      <c r="C33" s="204">
        <v>210725.07</v>
      </c>
      <c r="D33" s="10"/>
      <c r="E33" s="247">
        <v>0.05</v>
      </c>
      <c r="F33" s="22">
        <v>231782</v>
      </c>
      <c r="G33" s="22">
        <f t="shared" si="4"/>
        <v>243371.1</v>
      </c>
      <c r="H33" s="22">
        <f t="shared" si="7"/>
        <v>255539.655</v>
      </c>
      <c r="I33" s="22">
        <f t="shared" si="7"/>
        <v>268316.63774999999</v>
      </c>
      <c r="J33" s="22">
        <f t="shared" si="7"/>
        <v>281732.46963750001</v>
      </c>
      <c r="L33" s="26"/>
      <c r="O33" s="161" t="s">
        <v>351</v>
      </c>
      <c r="P33" s="162">
        <v>150</v>
      </c>
      <c r="Q33" s="162">
        <v>312.5</v>
      </c>
      <c r="U33" s="1"/>
    </row>
    <row r="34" spans="1:21" x14ac:dyDescent="0.25">
      <c r="A34" s="26">
        <v>71291</v>
      </c>
      <c r="B34" s="9" t="s">
        <v>416</v>
      </c>
      <c r="C34" s="204">
        <v>13607.72</v>
      </c>
      <c r="D34" s="10"/>
      <c r="E34" s="247">
        <v>0.05</v>
      </c>
      <c r="F34" s="22">
        <v>21000</v>
      </c>
      <c r="G34" s="22">
        <f t="shared" si="4"/>
        <v>22050</v>
      </c>
      <c r="H34" s="22">
        <f t="shared" si="7"/>
        <v>23152.5</v>
      </c>
      <c r="I34" s="22">
        <f t="shared" si="7"/>
        <v>24310.125</v>
      </c>
      <c r="J34" s="22">
        <f t="shared" si="7"/>
        <v>25525.631249999999</v>
      </c>
      <c r="L34" s="26"/>
      <c r="O34" s="161"/>
      <c r="P34" s="162"/>
      <c r="Q34" s="162"/>
      <c r="U34" s="1"/>
    </row>
    <row r="35" spans="1:21" x14ac:dyDescent="0.25">
      <c r="A35" s="26">
        <v>71300</v>
      </c>
      <c r="B35" s="9" t="s">
        <v>39</v>
      </c>
      <c r="C35" s="204">
        <v>13808.930000000002</v>
      </c>
      <c r="D35" s="10"/>
      <c r="E35" s="247">
        <v>0.05</v>
      </c>
      <c r="F35" s="22">
        <v>35825</v>
      </c>
      <c r="G35" s="22">
        <f t="shared" si="4"/>
        <v>37616.25</v>
      </c>
      <c r="H35" s="22">
        <f t="shared" si="7"/>
        <v>39497.0625</v>
      </c>
      <c r="I35" s="22">
        <f t="shared" si="7"/>
        <v>41471.915625000001</v>
      </c>
      <c r="J35" s="22">
        <f t="shared" si="7"/>
        <v>43545.51140625</v>
      </c>
      <c r="L35" s="26"/>
      <c r="O35" s="161" t="s">
        <v>352</v>
      </c>
      <c r="P35" s="162">
        <v>1037.26</v>
      </c>
      <c r="Q35" s="162">
        <v>2160.9583333333335</v>
      </c>
      <c r="U35" s="1"/>
    </row>
    <row r="36" spans="1:21" x14ac:dyDescent="0.25">
      <c r="A36" s="26">
        <v>71320</v>
      </c>
      <c r="B36" s="9" t="s">
        <v>41</v>
      </c>
      <c r="C36" s="204">
        <v>66846.25999999998</v>
      </c>
      <c r="D36" s="10"/>
      <c r="E36" s="247">
        <v>0.05</v>
      </c>
      <c r="F36" s="22">
        <v>89650</v>
      </c>
      <c r="G36" s="22">
        <f t="shared" si="4"/>
        <v>94132.5</v>
      </c>
      <c r="H36" s="22">
        <f t="shared" si="7"/>
        <v>98839.125</v>
      </c>
      <c r="I36" s="22">
        <f t="shared" si="7"/>
        <v>103781.08125</v>
      </c>
      <c r="J36" s="22">
        <f t="shared" si="7"/>
        <v>108970.1353125</v>
      </c>
      <c r="L36" s="26"/>
      <c r="O36" s="161" t="s">
        <v>353</v>
      </c>
      <c r="P36" s="162">
        <v>1377.26</v>
      </c>
      <c r="Q36" s="162">
        <v>2869.2916666666665</v>
      </c>
      <c r="U36" s="1"/>
    </row>
    <row r="37" spans="1:21" x14ac:dyDescent="0.25">
      <c r="A37" s="26">
        <v>71330</v>
      </c>
      <c r="B37" s="9" t="s">
        <v>42</v>
      </c>
      <c r="C37" s="204">
        <v>833.75</v>
      </c>
      <c r="D37" s="10"/>
      <c r="E37" s="247">
        <v>0.05</v>
      </c>
      <c r="F37" s="22">
        <v>2500</v>
      </c>
      <c r="G37" s="22">
        <f t="shared" si="4"/>
        <v>2625</v>
      </c>
      <c r="H37" s="22">
        <f t="shared" si="7"/>
        <v>2756.25</v>
      </c>
      <c r="I37" s="22">
        <f t="shared" si="7"/>
        <v>2894.0625</v>
      </c>
      <c r="J37" s="22">
        <f t="shared" si="7"/>
        <v>3038.765625</v>
      </c>
      <c r="L37" s="26"/>
      <c r="O37" s="161" t="s">
        <v>354</v>
      </c>
      <c r="P37" s="162">
        <v>8390.5300000000007</v>
      </c>
      <c r="Q37" s="162">
        <v>17480.270833333336</v>
      </c>
      <c r="U37" s="1"/>
    </row>
    <row r="38" spans="1:21" x14ac:dyDescent="0.25">
      <c r="A38" s="26">
        <v>71350</v>
      </c>
      <c r="B38" s="9" t="s">
        <v>43</v>
      </c>
      <c r="C38" s="204">
        <v>305855.31</v>
      </c>
      <c r="D38" s="10"/>
      <c r="E38" s="247">
        <v>7.0000000000000007E-2</v>
      </c>
      <c r="F38" s="22">
        <v>521815</v>
      </c>
      <c r="G38" s="22">
        <f t="shared" si="4"/>
        <v>558342.05000000005</v>
      </c>
      <c r="H38" s="22">
        <f t="shared" si="7"/>
        <v>597425.9935000001</v>
      </c>
      <c r="I38" s="22">
        <f t="shared" si="7"/>
        <v>639245.81304500008</v>
      </c>
      <c r="J38" s="22">
        <f t="shared" si="7"/>
        <v>683993.01995815011</v>
      </c>
      <c r="L38" s="26"/>
      <c r="O38" s="161" t="s">
        <v>355</v>
      </c>
      <c r="P38" s="162">
        <v>716</v>
      </c>
      <c r="Q38" s="162">
        <v>1491.6666666666665</v>
      </c>
      <c r="U38" s="1"/>
    </row>
    <row r="39" spans="1:21" x14ac:dyDescent="0.25">
      <c r="A39" s="26">
        <v>71380</v>
      </c>
      <c r="B39" s="9" t="s">
        <v>44</v>
      </c>
      <c r="C39" s="204">
        <v>0</v>
      </c>
      <c r="D39" s="10"/>
      <c r="E39" s="247">
        <v>0.05</v>
      </c>
      <c r="F39" s="22">
        <v>0</v>
      </c>
      <c r="G39" s="22">
        <f t="shared" si="4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L39" s="26"/>
      <c r="O39" s="161" t="s">
        <v>356</v>
      </c>
      <c r="P39" s="162">
        <v>61841.760000000002</v>
      </c>
      <c r="Q39" s="162">
        <v>128837.00000000001</v>
      </c>
      <c r="U39" s="1"/>
    </row>
    <row r="40" spans="1:21" x14ac:dyDescent="0.25">
      <c r="A40" s="26">
        <v>71390</v>
      </c>
      <c r="B40" s="9" t="s">
        <v>45</v>
      </c>
      <c r="C40" s="204">
        <v>11170.99</v>
      </c>
      <c r="D40" s="10"/>
      <c r="E40" s="247">
        <v>0.05</v>
      </c>
      <c r="F40" s="22">
        <v>23500</v>
      </c>
      <c r="G40" s="22">
        <f t="shared" si="4"/>
        <v>24675</v>
      </c>
      <c r="H40" s="22">
        <f t="shared" si="7"/>
        <v>25908.75</v>
      </c>
      <c r="I40" s="22">
        <f t="shared" si="7"/>
        <v>27204.1875</v>
      </c>
      <c r="J40" s="22">
        <f t="shared" si="7"/>
        <v>28564.396874999999</v>
      </c>
      <c r="L40" s="26"/>
      <c r="O40" s="161" t="s">
        <v>357</v>
      </c>
      <c r="P40" s="162">
        <v>96560</v>
      </c>
      <c r="Q40" s="162">
        <v>201166.66666666669</v>
      </c>
      <c r="U40" s="1"/>
    </row>
    <row r="41" spans="1:21" x14ac:dyDescent="0.25">
      <c r="A41" s="26">
        <v>71395</v>
      </c>
      <c r="B41" s="9" t="s">
        <v>46</v>
      </c>
      <c r="C41" s="204">
        <v>23244.05</v>
      </c>
      <c r="D41" s="10"/>
      <c r="E41" s="247">
        <v>0.05</v>
      </c>
      <c r="F41" s="22">
        <v>35000</v>
      </c>
      <c r="G41" s="22">
        <f t="shared" si="4"/>
        <v>36750</v>
      </c>
      <c r="H41" s="22">
        <f t="shared" si="7"/>
        <v>38587.5</v>
      </c>
      <c r="I41" s="22">
        <f t="shared" si="7"/>
        <v>40516.875</v>
      </c>
      <c r="J41" s="22">
        <f t="shared" si="7"/>
        <v>42542.71875</v>
      </c>
      <c r="L41" s="26"/>
      <c r="O41" s="161" t="s">
        <v>358</v>
      </c>
      <c r="P41" s="162">
        <v>387744.79</v>
      </c>
      <c r="Q41" s="162">
        <v>807801.64583333326</v>
      </c>
      <c r="U41" s="1"/>
    </row>
    <row r="42" spans="1:21" x14ac:dyDescent="0.25">
      <c r="A42" s="28">
        <v>71900</v>
      </c>
      <c r="B42" s="1" t="s">
        <v>229</v>
      </c>
      <c r="C42" s="204">
        <v>0</v>
      </c>
      <c r="D42" s="3"/>
      <c r="E42" s="247">
        <v>7.0000000000000007E-2</v>
      </c>
      <c r="F42" s="222">
        <f t="shared" si="6"/>
        <v>0</v>
      </c>
      <c r="G42" s="22">
        <f t="shared" si="4"/>
        <v>0</v>
      </c>
      <c r="H42" s="22">
        <f t="shared" si="7"/>
        <v>0</v>
      </c>
      <c r="I42" s="22">
        <f t="shared" si="7"/>
        <v>0</v>
      </c>
      <c r="J42" s="22">
        <f t="shared" si="7"/>
        <v>0</v>
      </c>
      <c r="L42" s="138"/>
      <c r="O42" s="161" t="s">
        <v>359</v>
      </c>
      <c r="P42" s="162">
        <v>41402.04</v>
      </c>
      <c r="Q42" s="162">
        <v>86254.25</v>
      </c>
      <c r="T42" s="1"/>
      <c r="U42" s="1"/>
    </row>
    <row r="43" spans="1:21" x14ac:dyDescent="0.25">
      <c r="A43" s="26">
        <v>72000</v>
      </c>
      <c r="B43" s="9" t="s">
        <v>278</v>
      </c>
      <c r="C43" s="204">
        <v>0</v>
      </c>
      <c r="D43" s="10"/>
      <c r="E43" s="247">
        <v>0.05</v>
      </c>
      <c r="F43" s="22">
        <v>2300</v>
      </c>
      <c r="G43" s="22">
        <f t="shared" si="4"/>
        <v>2415</v>
      </c>
      <c r="H43" s="22">
        <f t="shared" si="7"/>
        <v>2535.75</v>
      </c>
      <c r="I43" s="22">
        <f t="shared" si="7"/>
        <v>2662.5374999999999</v>
      </c>
      <c r="J43" s="22">
        <f t="shared" si="7"/>
        <v>2795.6643749999998</v>
      </c>
      <c r="L43" s="26"/>
      <c r="O43" s="161" t="s">
        <v>360</v>
      </c>
      <c r="P43" s="162">
        <v>65008.32</v>
      </c>
      <c r="Q43" s="162">
        <v>135434</v>
      </c>
      <c r="U43" s="1"/>
    </row>
    <row r="44" spans="1:21" x14ac:dyDescent="0.25">
      <c r="A44" s="26">
        <v>72005</v>
      </c>
      <c r="B44" s="9" t="s">
        <v>47</v>
      </c>
      <c r="C44" s="204">
        <v>0</v>
      </c>
      <c r="D44" s="10"/>
      <c r="E44" s="247">
        <v>0.05</v>
      </c>
      <c r="F44" s="22"/>
      <c r="G44" s="22">
        <f t="shared" si="4"/>
        <v>0</v>
      </c>
      <c r="H44" s="22">
        <f t="shared" si="7"/>
        <v>0</v>
      </c>
      <c r="I44" s="22">
        <f t="shared" si="7"/>
        <v>0</v>
      </c>
      <c r="J44" s="22">
        <f t="shared" si="7"/>
        <v>0</v>
      </c>
      <c r="L44" s="26"/>
      <c r="O44" s="161" t="s">
        <v>361</v>
      </c>
      <c r="P44" s="162">
        <v>607</v>
      </c>
      <c r="Q44" s="162">
        <v>1264.5833333333335</v>
      </c>
      <c r="U44" s="1"/>
    </row>
    <row r="45" spans="1:21" x14ac:dyDescent="0.25">
      <c r="A45" s="26">
        <v>72015</v>
      </c>
      <c r="B45" s="9" t="s">
        <v>279</v>
      </c>
      <c r="C45" s="204">
        <v>0</v>
      </c>
      <c r="D45" s="10"/>
      <c r="E45" s="247">
        <v>0.05</v>
      </c>
      <c r="F45" s="22">
        <v>200</v>
      </c>
      <c r="G45" s="22">
        <f t="shared" si="4"/>
        <v>210</v>
      </c>
      <c r="H45" s="22">
        <f t="shared" si="7"/>
        <v>220.5</v>
      </c>
      <c r="I45" s="22">
        <f t="shared" si="7"/>
        <v>231.52500000000001</v>
      </c>
      <c r="J45" s="22">
        <f t="shared" si="7"/>
        <v>243.10124999999999</v>
      </c>
      <c r="L45" s="26"/>
      <c r="O45" s="161" t="s">
        <v>362</v>
      </c>
      <c r="P45" s="162">
        <v>1825</v>
      </c>
      <c r="Q45" s="162">
        <v>3802.0833333333335</v>
      </c>
      <c r="U45" s="1"/>
    </row>
    <row r="46" spans="1:21" x14ac:dyDescent="0.25">
      <c r="A46" s="26">
        <v>72021</v>
      </c>
      <c r="B46" s="9" t="s">
        <v>203</v>
      </c>
      <c r="C46" s="204">
        <v>247.28</v>
      </c>
      <c r="D46" s="10"/>
      <c r="E46" s="247">
        <v>0.05</v>
      </c>
      <c r="F46" s="22">
        <v>1500</v>
      </c>
      <c r="G46" s="22">
        <f t="shared" si="4"/>
        <v>1575</v>
      </c>
      <c r="H46" s="22">
        <f t="shared" si="7"/>
        <v>1653.75</v>
      </c>
      <c r="I46" s="22">
        <f t="shared" si="7"/>
        <v>1736.4375</v>
      </c>
      <c r="J46" s="22">
        <f t="shared" si="7"/>
        <v>1823.2593750000001</v>
      </c>
      <c r="L46" s="26"/>
      <c r="O46" s="161" t="s">
        <v>363</v>
      </c>
      <c r="P46" s="162">
        <v>525549</v>
      </c>
      <c r="Q46" s="162">
        <v>1094893.75</v>
      </c>
      <c r="U46" s="1"/>
    </row>
    <row r="47" spans="1:21" x14ac:dyDescent="0.25">
      <c r="A47" s="26">
        <v>72022</v>
      </c>
      <c r="B47" s="9" t="s">
        <v>204</v>
      </c>
      <c r="C47" s="204">
        <v>11454.42</v>
      </c>
      <c r="D47" s="10"/>
      <c r="E47" s="247">
        <v>0.05</v>
      </c>
      <c r="F47" s="22">
        <v>9000</v>
      </c>
      <c r="G47" s="22">
        <f t="shared" si="4"/>
        <v>9450</v>
      </c>
      <c r="H47" s="22">
        <f t="shared" si="7"/>
        <v>9922.5</v>
      </c>
      <c r="I47" s="22">
        <f t="shared" si="7"/>
        <v>10418.625</v>
      </c>
      <c r="J47" s="22">
        <f t="shared" si="7"/>
        <v>10939.55625</v>
      </c>
      <c r="L47" s="26"/>
      <c r="O47" s="161" t="s">
        <v>364</v>
      </c>
      <c r="P47" s="162">
        <v>326018.70999999996</v>
      </c>
      <c r="Q47" s="162">
        <v>679205.64583333326</v>
      </c>
      <c r="U47" s="1"/>
    </row>
    <row r="48" spans="1:21" x14ac:dyDescent="0.25">
      <c r="A48" s="26">
        <v>72023</v>
      </c>
      <c r="B48" s="9" t="s">
        <v>205</v>
      </c>
      <c r="C48" s="204">
        <v>26.45</v>
      </c>
      <c r="D48" s="10"/>
      <c r="E48" s="247">
        <v>0.05</v>
      </c>
      <c r="F48" s="22">
        <v>0</v>
      </c>
      <c r="G48" s="22">
        <f t="shared" si="4"/>
        <v>0</v>
      </c>
      <c r="H48" s="22">
        <f t="shared" si="7"/>
        <v>0</v>
      </c>
      <c r="I48" s="22">
        <f t="shared" si="7"/>
        <v>0</v>
      </c>
      <c r="J48" s="22">
        <f t="shared" si="7"/>
        <v>0</v>
      </c>
      <c r="L48" s="26"/>
      <c r="O48" s="161" t="s">
        <v>365</v>
      </c>
      <c r="P48" s="162">
        <v>2686.8</v>
      </c>
      <c r="Q48" s="162">
        <v>5597.5</v>
      </c>
      <c r="U48" s="1"/>
    </row>
    <row r="49" spans="1:21" x14ac:dyDescent="0.25">
      <c r="A49" s="26">
        <v>72024</v>
      </c>
      <c r="B49" s="9" t="s">
        <v>206</v>
      </c>
      <c r="C49" s="204">
        <v>0</v>
      </c>
      <c r="D49" s="10"/>
      <c r="E49" s="247">
        <v>0.05</v>
      </c>
      <c r="F49" s="22"/>
      <c r="G49" s="22">
        <f t="shared" si="4"/>
        <v>0</v>
      </c>
      <c r="H49" s="22">
        <f t="shared" si="7"/>
        <v>0</v>
      </c>
      <c r="I49" s="22">
        <f t="shared" si="7"/>
        <v>0</v>
      </c>
      <c r="J49" s="22">
        <f t="shared" si="7"/>
        <v>0</v>
      </c>
      <c r="L49" s="26"/>
      <c r="O49" s="161" t="s">
        <v>366</v>
      </c>
      <c r="P49" s="162">
        <v>4373.16</v>
      </c>
      <c r="Q49" s="162">
        <v>9110.75</v>
      </c>
      <c r="U49" s="1"/>
    </row>
    <row r="50" spans="1:21" x14ac:dyDescent="0.25">
      <c r="A50" s="26">
        <v>72025</v>
      </c>
      <c r="B50" s="9" t="s">
        <v>207</v>
      </c>
      <c r="C50" s="204">
        <v>0</v>
      </c>
      <c r="D50" s="10"/>
      <c r="E50" s="247">
        <v>0.05</v>
      </c>
      <c r="F50" s="22">
        <v>0</v>
      </c>
      <c r="G50" s="22">
        <f t="shared" si="4"/>
        <v>0</v>
      </c>
      <c r="H50" s="22">
        <f t="shared" si="7"/>
        <v>0</v>
      </c>
      <c r="I50" s="22">
        <f t="shared" si="7"/>
        <v>0</v>
      </c>
      <c r="J50" s="22">
        <f t="shared" si="7"/>
        <v>0</v>
      </c>
      <c r="L50" s="26"/>
      <c r="O50" s="161" t="s">
        <v>367</v>
      </c>
      <c r="P50" s="162">
        <v>18597.7</v>
      </c>
      <c r="Q50" s="162">
        <v>38745.208333333336</v>
      </c>
      <c r="U50" s="1"/>
    </row>
    <row r="51" spans="1:21" x14ac:dyDescent="0.25">
      <c r="A51" s="26">
        <v>72026</v>
      </c>
      <c r="B51" s="9" t="s">
        <v>208</v>
      </c>
      <c r="C51" s="204">
        <v>0</v>
      </c>
      <c r="D51" s="10"/>
      <c r="E51" s="247">
        <v>0</v>
      </c>
      <c r="F51" s="22">
        <v>0</v>
      </c>
      <c r="G51" s="22">
        <f t="shared" si="4"/>
        <v>0</v>
      </c>
      <c r="H51" s="22">
        <f t="shared" si="7"/>
        <v>0</v>
      </c>
      <c r="I51" s="22">
        <f t="shared" si="7"/>
        <v>0</v>
      </c>
      <c r="J51" s="22">
        <f t="shared" si="7"/>
        <v>0</v>
      </c>
      <c r="L51" s="26"/>
      <c r="O51" s="161" t="s">
        <v>368</v>
      </c>
      <c r="P51" s="162">
        <v>300100.8</v>
      </c>
      <c r="Q51" s="162">
        <v>625210</v>
      </c>
      <c r="U51" s="1"/>
    </row>
    <row r="52" spans="1:21" x14ac:dyDescent="0.25">
      <c r="A52" s="26">
        <v>73000</v>
      </c>
      <c r="B52" s="9" t="s">
        <v>48</v>
      </c>
      <c r="C52" s="204">
        <v>0</v>
      </c>
      <c r="D52" s="10"/>
      <c r="E52" s="247">
        <v>0.05</v>
      </c>
      <c r="F52" s="22"/>
      <c r="G52" s="22">
        <f t="shared" si="4"/>
        <v>0</v>
      </c>
      <c r="H52" s="22">
        <f t="shared" ref="H52:J71" si="8">+(G52*$E52)+G52</f>
        <v>0</v>
      </c>
      <c r="I52" s="22">
        <f t="shared" si="8"/>
        <v>0</v>
      </c>
      <c r="J52" s="22">
        <f t="shared" si="8"/>
        <v>0</v>
      </c>
      <c r="L52" s="26"/>
      <c r="O52" s="161" t="s">
        <v>369</v>
      </c>
      <c r="P52" s="162">
        <v>17074.099999999999</v>
      </c>
      <c r="Q52" s="162">
        <v>35571.041666666664</v>
      </c>
      <c r="U52" s="1"/>
    </row>
    <row r="53" spans="1:21" x14ac:dyDescent="0.25">
      <c r="A53" s="26">
        <v>73001</v>
      </c>
      <c r="B53" s="9" t="s">
        <v>209</v>
      </c>
      <c r="C53" s="204">
        <v>95326.9</v>
      </c>
      <c r="D53" s="10"/>
      <c r="E53" s="247">
        <v>0.05</v>
      </c>
      <c r="F53" s="22">
        <v>110250</v>
      </c>
      <c r="G53" s="22">
        <f t="shared" si="4"/>
        <v>115762.5</v>
      </c>
      <c r="H53" s="22">
        <f t="shared" si="8"/>
        <v>121550.625</v>
      </c>
      <c r="I53" s="22">
        <f t="shared" si="8"/>
        <v>127628.15625</v>
      </c>
      <c r="J53" s="22">
        <f t="shared" si="8"/>
        <v>134009.56406249999</v>
      </c>
      <c r="L53" s="26"/>
      <c r="O53" s="161" t="s">
        <v>370</v>
      </c>
      <c r="P53" s="162">
        <v>1612.15</v>
      </c>
      <c r="Q53" s="162">
        <v>3358.6458333333335</v>
      </c>
      <c r="U53" s="1"/>
    </row>
    <row r="54" spans="1:21" x14ac:dyDescent="0.25">
      <c r="A54" s="26">
        <v>73002</v>
      </c>
      <c r="B54" s="9" t="s">
        <v>210</v>
      </c>
      <c r="C54" s="204">
        <v>100602.92</v>
      </c>
      <c r="D54" s="10"/>
      <c r="E54" s="247">
        <v>0.05</v>
      </c>
      <c r="F54" s="22">
        <v>98000</v>
      </c>
      <c r="G54" s="22">
        <f t="shared" si="4"/>
        <v>102900</v>
      </c>
      <c r="H54" s="22">
        <f t="shared" si="8"/>
        <v>108045</v>
      </c>
      <c r="I54" s="22">
        <f t="shared" si="8"/>
        <v>113447.25</v>
      </c>
      <c r="J54" s="22">
        <f t="shared" si="8"/>
        <v>119119.6125</v>
      </c>
      <c r="L54" s="26"/>
      <c r="O54" s="161" t="s">
        <v>371</v>
      </c>
      <c r="P54" s="162">
        <v>8282.92</v>
      </c>
      <c r="Q54" s="162">
        <v>17256.083333333332</v>
      </c>
      <c r="U54" s="1"/>
    </row>
    <row r="55" spans="1:21" x14ac:dyDescent="0.25">
      <c r="A55" s="26">
        <v>73005</v>
      </c>
      <c r="B55" s="9" t="s">
        <v>49</v>
      </c>
      <c r="C55" s="204">
        <v>433461.02</v>
      </c>
      <c r="D55" s="10"/>
      <c r="E55" s="247">
        <v>0.1</v>
      </c>
      <c r="F55" s="22">
        <v>460000</v>
      </c>
      <c r="G55" s="22">
        <v>450000</v>
      </c>
      <c r="H55" s="22">
        <v>450000</v>
      </c>
      <c r="I55" s="22">
        <v>450000</v>
      </c>
      <c r="J55" s="22">
        <v>450000</v>
      </c>
      <c r="L55" s="26"/>
      <c r="O55" s="161" t="s">
        <v>372</v>
      </c>
      <c r="P55" s="162">
        <v>112364.47</v>
      </c>
      <c r="Q55" s="162">
        <v>234092.64583333334</v>
      </c>
      <c r="U55" s="1"/>
    </row>
    <row r="56" spans="1:21" x14ac:dyDescent="0.25">
      <c r="A56" s="26">
        <v>73030</v>
      </c>
      <c r="B56" s="9" t="s">
        <v>211</v>
      </c>
      <c r="C56" s="204">
        <v>0</v>
      </c>
      <c r="D56" s="10"/>
      <c r="E56" s="3">
        <v>0.05</v>
      </c>
      <c r="F56" s="22"/>
      <c r="G56" s="22">
        <f t="shared" si="4"/>
        <v>0</v>
      </c>
      <c r="H56" s="22">
        <f t="shared" si="8"/>
        <v>0</v>
      </c>
      <c r="I56" s="22">
        <f t="shared" si="8"/>
        <v>0</v>
      </c>
      <c r="J56" s="22">
        <f t="shared" si="8"/>
        <v>0</v>
      </c>
      <c r="L56" s="26"/>
      <c r="O56" s="161" t="s">
        <v>373</v>
      </c>
      <c r="P56" s="162">
        <v>47361.440000000002</v>
      </c>
      <c r="Q56" s="162">
        <v>98669.666666666672</v>
      </c>
      <c r="U56" s="1"/>
    </row>
    <row r="57" spans="1:21" x14ac:dyDescent="0.25">
      <c r="A57" s="2">
        <v>73035</v>
      </c>
      <c r="B57" s="9" t="s">
        <v>50</v>
      </c>
      <c r="C57" s="204">
        <v>74876.899999999994</v>
      </c>
      <c r="D57" s="10"/>
      <c r="E57" s="3">
        <v>0.2</v>
      </c>
      <c r="F57" s="22">
        <v>100000</v>
      </c>
      <c r="G57" s="22">
        <f t="shared" si="4"/>
        <v>120000</v>
      </c>
      <c r="H57" s="22">
        <f t="shared" si="8"/>
        <v>144000</v>
      </c>
      <c r="I57" s="22">
        <f t="shared" si="8"/>
        <v>172800</v>
      </c>
      <c r="J57" s="22">
        <f t="shared" si="8"/>
        <v>207360</v>
      </c>
      <c r="L57" s="2"/>
      <c r="O57" s="161" t="s">
        <v>374</v>
      </c>
      <c r="P57" s="162">
        <v>25917.98</v>
      </c>
      <c r="Q57" s="162">
        <v>53995.791666666664</v>
      </c>
      <c r="U57" s="1"/>
    </row>
    <row r="58" spans="1:21" x14ac:dyDescent="0.25">
      <c r="A58" s="26">
        <v>73045</v>
      </c>
      <c r="B58" s="9" t="s">
        <v>51</v>
      </c>
      <c r="C58" s="204">
        <v>36640</v>
      </c>
      <c r="D58" s="10"/>
      <c r="E58" s="3">
        <v>7.0000000000000007E-2</v>
      </c>
      <c r="F58" s="22">
        <v>12000</v>
      </c>
      <c r="G58" s="22">
        <f t="shared" si="4"/>
        <v>12840</v>
      </c>
      <c r="H58" s="22">
        <f t="shared" si="8"/>
        <v>13738.8</v>
      </c>
      <c r="I58" s="22">
        <f t="shared" si="8"/>
        <v>14700.516</v>
      </c>
      <c r="J58" s="22">
        <f t="shared" si="8"/>
        <v>15729.55212</v>
      </c>
      <c r="L58" s="26"/>
      <c r="O58" s="161" t="s">
        <v>375</v>
      </c>
      <c r="P58" s="162">
        <v>5681.0800000000008</v>
      </c>
      <c r="Q58" s="162">
        <v>11835.583333333336</v>
      </c>
      <c r="U58" s="1"/>
    </row>
    <row r="59" spans="1:21" x14ac:dyDescent="0.25">
      <c r="A59" s="26">
        <v>73050</v>
      </c>
      <c r="B59" s="9" t="s">
        <v>52</v>
      </c>
      <c r="C59" s="204">
        <v>99078.21</v>
      </c>
      <c r="D59" s="10"/>
      <c r="E59" s="3">
        <v>0.05</v>
      </c>
      <c r="F59" s="22">
        <v>90000</v>
      </c>
      <c r="G59" s="22">
        <f t="shared" si="4"/>
        <v>94500</v>
      </c>
      <c r="H59" s="22">
        <f t="shared" si="8"/>
        <v>99225</v>
      </c>
      <c r="I59" s="22">
        <f t="shared" si="8"/>
        <v>104186.25</v>
      </c>
      <c r="J59" s="22">
        <f t="shared" si="8"/>
        <v>109395.5625</v>
      </c>
      <c r="L59" s="26"/>
      <c r="O59" s="161" t="s">
        <v>376</v>
      </c>
      <c r="P59" s="162">
        <v>1749.45</v>
      </c>
      <c r="Q59" s="162">
        <v>3644.6875</v>
      </c>
      <c r="U59" s="1"/>
    </row>
    <row r="60" spans="1:21" x14ac:dyDescent="0.25">
      <c r="A60" s="26">
        <v>73055</v>
      </c>
      <c r="B60" s="9" t="s">
        <v>53</v>
      </c>
      <c r="C60" s="204">
        <v>18964.03</v>
      </c>
      <c r="D60" s="10"/>
      <c r="E60" s="3">
        <v>7.0000000000000007E-2</v>
      </c>
      <c r="F60" s="22">
        <v>30000</v>
      </c>
      <c r="G60" s="22">
        <f t="shared" si="4"/>
        <v>32100.000000000004</v>
      </c>
      <c r="H60" s="22">
        <f t="shared" si="8"/>
        <v>34347.000000000007</v>
      </c>
      <c r="I60" s="22">
        <f t="shared" si="8"/>
        <v>36751.290000000008</v>
      </c>
      <c r="J60" s="22">
        <f t="shared" si="8"/>
        <v>39323.880300000012</v>
      </c>
      <c r="L60" s="26"/>
      <c r="O60" s="161" t="s">
        <v>377</v>
      </c>
      <c r="P60" s="162">
        <v>344599.82999999996</v>
      </c>
      <c r="Q60" s="162">
        <v>717916.31249999988</v>
      </c>
      <c r="U60" s="1"/>
    </row>
    <row r="61" spans="1:21" x14ac:dyDescent="0.25">
      <c r="A61" s="26">
        <v>73060</v>
      </c>
      <c r="B61" s="9" t="s">
        <v>54</v>
      </c>
      <c r="C61" s="204">
        <v>0</v>
      </c>
      <c r="D61" s="10"/>
      <c r="E61" s="3">
        <v>7.0000000000000007E-2</v>
      </c>
      <c r="F61" s="22"/>
      <c r="G61" s="22">
        <f t="shared" si="4"/>
        <v>0</v>
      </c>
      <c r="H61" s="22">
        <f t="shared" si="8"/>
        <v>0</v>
      </c>
      <c r="I61" s="22">
        <f t="shared" si="8"/>
        <v>0</v>
      </c>
      <c r="J61" s="22">
        <f t="shared" si="8"/>
        <v>0</v>
      </c>
      <c r="L61" s="26"/>
      <c r="O61" s="161" t="s">
        <v>378</v>
      </c>
      <c r="P61" s="162">
        <v>1957.15</v>
      </c>
      <c r="Q61" s="162">
        <v>4077.3958333333335</v>
      </c>
      <c r="U61" s="1"/>
    </row>
    <row r="62" spans="1:21" x14ac:dyDescent="0.25">
      <c r="A62" s="26">
        <v>79000</v>
      </c>
      <c r="B62" s="9" t="s">
        <v>55</v>
      </c>
      <c r="C62" s="204">
        <v>0</v>
      </c>
      <c r="D62" s="10"/>
      <c r="E62" s="3">
        <v>0.05</v>
      </c>
      <c r="F62" s="22">
        <v>0</v>
      </c>
      <c r="G62" s="22">
        <f t="shared" si="4"/>
        <v>0</v>
      </c>
      <c r="H62" s="22">
        <f t="shared" si="8"/>
        <v>0</v>
      </c>
      <c r="I62" s="22">
        <f t="shared" si="8"/>
        <v>0</v>
      </c>
      <c r="J62" s="22">
        <f t="shared" si="8"/>
        <v>0</v>
      </c>
      <c r="L62" s="26"/>
      <c r="O62" s="161" t="s">
        <v>379</v>
      </c>
      <c r="P62" s="162">
        <v>80980.429999999993</v>
      </c>
      <c r="Q62" s="162">
        <v>168709.22916666666</v>
      </c>
      <c r="U62" s="1"/>
    </row>
    <row r="63" spans="1:21" x14ac:dyDescent="0.25">
      <c r="A63" s="26">
        <v>79010</v>
      </c>
      <c r="B63" s="9" t="s">
        <v>56</v>
      </c>
      <c r="C63" s="204">
        <v>2959.96</v>
      </c>
      <c r="D63" s="10"/>
      <c r="E63" s="3">
        <v>7.0000000000000007E-2</v>
      </c>
      <c r="F63" s="22">
        <v>13500</v>
      </c>
      <c r="G63" s="22">
        <f t="shared" si="4"/>
        <v>14445</v>
      </c>
      <c r="H63" s="22">
        <f t="shared" si="8"/>
        <v>15456.15</v>
      </c>
      <c r="I63" s="22">
        <f t="shared" si="8"/>
        <v>16538.0805</v>
      </c>
      <c r="J63" s="22">
        <f t="shared" si="8"/>
        <v>17695.746135000001</v>
      </c>
      <c r="L63" s="26"/>
      <c r="O63" s="161" t="s">
        <v>380</v>
      </c>
      <c r="P63" s="162">
        <v>42245.55</v>
      </c>
      <c r="Q63" s="162">
        <v>88011.5625</v>
      </c>
      <c r="U63" s="1"/>
    </row>
    <row r="64" spans="1:21" x14ac:dyDescent="0.25">
      <c r="A64" s="26">
        <v>81000</v>
      </c>
      <c r="B64" s="9" t="s">
        <v>57</v>
      </c>
      <c r="C64" s="204">
        <v>43117.919999999998</v>
      </c>
      <c r="D64" s="10"/>
      <c r="E64" s="3">
        <v>7.0000000000000007E-2</v>
      </c>
      <c r="F64" s="22">
        <v>40000</v>
      </c>
      <c r="G64" s="22">
        <f t="shared" si="4"/>
        <v>42800</v>
      </c>
      <c r="H64" s="22">
        <f t="shared" si="8"/>
        <v>45796</v>
      </c>
      <c r="I64" s="22">
        <f t="shared" si="8"/>
        <v>49001.72</v>
      </c>
      <c r="J64" s="22">
        <f t="shared" si="8"/>
        <v>52431.840400000001</v>
      </c>
      <c r="L64" s="26"/>
      <c r="O64" s="161" t="s">
        <v>381</v>
      </c>
      <c r="P64" s="162">
        <v>5565.33</v>
      </c>
      <c r="Q64" s="162">
        <v>11594.4375</v>
      </c>
      <c r="U64" s="1"/>
    </row>
    <row r="65" spans="1:21" x14ac:dyDescent="0.25">
      <c r="A65" s="26">
        <v>84025</v>
      </c>
      <c r="B65" s="9" t="s">
        <v>59</v>
      </c>
      <c r="C65" s="204">
        <v>17658.64</v>
      </c>
      <c r="D65" s="10"/>
      <c r="E65" s="3">
        <v>7.0000000000000007E-2</v>
      </c>
      <c r="F65" s="22">
        <v>51354.55</v>
      </c>
      <c r="G65" s="22">
        <f t="shared" si="4"/>
        <v>54949.368500000004</v>
      </c>
      <c r="H65" s="22">
        <f t="shared" si="8"/>
        <v>58795.824295000006</v>
      </c>
      <c r="I65" s="22">
        <f>+H65*(1+$E65+0.03)</f>
        <v>64675.406724500011</v>
      </c>
      <c r="J65" s="22">
        <f>+I65*(1+$E65+0.03)</f>
        <v>71142.947396950025</v>
      </c>
      <c r="L65" s="26"/>
      <c r="O65" s="161" t="s">
        <v>382</v>
      </c>
      <c r="P65" s="162">
        <v>4789.2299999999996</v>
      </c>
      <c r="Q65" s="162">
        <v>9977.5625</v>
      </c>
      <c r="U65" s="1"/>
    </row>
    <row r="66" spans="1:21" x14ac:dyDescent="0.25">
      <c r="A66" s="26">
        <v>84040</v>
      </c>
      <c r="B66" s="9" t="s">
        <v>60</v>
      </c>
      <c r="C66" s="204">
        <v>8092.01</v>
      </c>
      <c r="D66" s="10"/>
      <c r="E66" s="3">
        <v>7.0000000000000007E-2</v>
      </c>
      <c r="F66" s="22">
        <v>41050</v>
      </c>
      <c r="G66" s="22">
        <f t="shared" si="4"/>
        <v>43923.5</v>
      </c>
      <c r="H66" s="22">
        <f t="shared" si="8"/>
        <v>46998.145000000004</v>
      </c>
      <c r="I66" s="22">
        <f t="shared" ref="I66:J70" si="9">+H66*(1+$E66+0.03)</f>
        <v>51697.959500000012</v>
      </c>
      <c r="J66" s="22">
        <f t="shared" si="9"/>
        <v>56867.755450000019</v>
      </c>
      <c r="L66" s="26"/>
      <c r="O66" s="161" t="s">
        <v>383</v>
      </c>
      <c r="P66" s="162">
        <v>7655.3</v>
      </c>
      <c r="Q66" s="162">
        <v>15948.541666666668</v>
      </c>
      <c r="U66" s="1"/>
    </row>
    <row r="67" spans="1:21" x14ac:dyDescent="0.25">
      <c r="A67" s="26">
        <v>84041</v>
      </c>
      <c r="B67" s="9" t="s">
        <v>61</v>
      </c>
      <c r="C67" s="204">
        <v>0</v>
      </c>
      <c r="D67" s="10"/>
      <c r="E67" s="3">
        <v>7.0000000000000007E-2</v>
      </c>
      <c r="F67" s="22">
        <v>100000</v>
      </c>
      <c r="G67" s="22">
        <f t="shared" si="4"/>
        <v>107000</v>
      </c>
      <c r="H67" s="22">
        <f t="shared" si="8"/>
        <v>114490</v>
      </c>
      <c r="I67" s="22">
        <f t="shared" si="9"/>
        <v>125939.00000000001</v>
      </c>
      <c r="J67" s="22">
        <f t="shared" si="9"/>
        <v>138532.90000000002</v>
      </c>
      <c r="L67" s="26"/>
      <c r="O67" s="161" t="s">
        <v>384</v>
      </c>
      <c r="P67" s="162">
        <v>105375</v>
      </c>
      <c r="Q67" s="162">
        <v>219531.25</v>
      </c>
      <c r="U67" s="1"/>
    </row>
    <row r="68" spans="1:21" x14ac:dyDescent="0.25">
      <c r="A68" s="26">
        <v>84061</v>
      </c>
      <c r="B68" s="9" t="s">
        <v>62</v>
      </c>
      <c r="C68" s="204">
        <v>0</v>
      </c>
      <c r="D68" s="10"/>
      <c r="E68" s="3">
        <v>7.0000000000000007E-2</v>
      </c>
      <c r="F68" s="22">
        <v>15000</v>
      </c>
      <c r="G68" s="22">
        <f t="shared" si="4"/>
        <v>16050.000000000002</v>
      </c>
      <c r="H68" s="22">
        <f t="shared" si="8"/>
        <v>17173.500000000004</v>
      </c>
      <c r="I68" s="22">
        <f t="shared" si="9"/>
        <v>18890.850000000006</v>
      </c>
      <c r="J68" s="22">
        <f t="shared" si="9"/>
        <v>20779.935000000009</v>
      </c>
      <c r="L68" s="26"/>
      <c r="O68" s="161" t="s">
        <v>385</v>
      </c>
      <c r="P68" s="162">
        <v>390168.3</v>
      </c>
      <c r="Q68" s="162">
        <v>812850.625</v>
      </c>
      <c r="U68" s="1"/>
    </row>
    <row r="69" spans="1:21" x14ac:dyDescent="0.25">
      <c r="A69" s="26">
        <v>84075</v>
      </c>
      <c r="B69" s="9" t="s">
        <v>63</v>
      </c>
      <c r="C69" s="204">
        <v>204944.47999999998</v>
      </c>
      <c r="D69" s="10"/>
      <c r="E69" s="3">
        <v>7.0000000000000007E-2</v>
      </c>
      <c r="F69" s="22">
        <v>317000</v>
      </c>
      <c r="G69" s="22">
        <f t="shared" ref="G69:G96" si="10">+(1+E69)*F69</f>
        <v>339190</v>
      </c>
      <c r="H69" s="22">
        <f t="shared" si="8"/>
        <v>362933.3</v>
      </c>
      <c r="I69" s="22">
        <f t="shared" si="9"/>
        <v>399226.63</v>
      </c>
      <c r="J69" s="22">
        <f t="shared" si="9"/>
        <v>439149.29300000006</v>
      </c>
      <c r="L69" s="26"/>
      <c r="O69" s="161" t="s">
        <v>386</v>
      </c>
      <c r="P69" s="162">
        <v>7109.28</v>
      </c>
      <c r="Q69" s="162">
        <v>14810.999999999998</v>
      </c>
      <c r="U69" s="1"/>
    </row>
    <row r="70" spans="1:21" x14ac:dyDescent="0.25">
      <c r="A70" s="26">
        <v>84110</v>
      </c>
      <c r="B70" s="9" t="s">
        <v>64</v>
      </c>
      <c r="C70" s="204">
        <v>180568.49</v>
      </c>
      <c r="D70" s="10"/>
      <c r="E70" s="3">
        <v>7.0000000000000007E-2</v>
      </c>
      <c r="F70" s="22">
        <v>252500</v>
      </c>
      <c r="G70" s="22">
        <f t="shared" si="10"/>
        <v>270175</v>
      </c>
      <c r="H70" s="22">
        <f t="shared" si="8"/>
        <v>289087.25</v>
      </c>
      <c r="I70" s="22">
        <f t="shared" si="9"/>
        <v>317995.97500000003</v>
      </c>
      <c r="J70" s="22">
        <f t="shared" si="9"/>
        <v>349795.57250000007</v>
      </c>
      <c r="L70" s="26"/>
      <c r="O70" s="161" t="s">
        <v>387</v>
      </c>
      <c r="P70" s="162">
        <v>1703.25</v>
      </c>
      <c r="Q70" s="162">
        <v>3548.4375</v>
      </c>
      <c r="U70" s="1"/>
    </row>
    <row r="71" spans="1:21" x14ac:dyDescent="0.25">
      <c r="A71" s="26">
        <v>84115</v>
      </c>
      <c r="B71" s="9" t="s">
        <v>65</v>
      </c>
      <c r="C71" s="204">
        <v>48475.38</v>
      </c>
      <c r="D71" s="10"/>
      <c r="E71" s="3">
        <v>7.0000000000000007E-2</v>
      </c>
      <c r="F71" s="22">
        <v>55250</v>
      </c>
      <c r="G71" s="22">
        <f t="shared" si="10"/>
        <v>59117.5</v>
      </c>
      <c r="H71" s="22">
        <f t="shared" si="8"/>
        <v>63255.724999999999</v>
      </c>
      <c r="I71" s="22">
        <f t="shared" si="8"/>
        <v>67683.625750000007</v>
      </c>
      <c r="J71" s="22">
        <f t="shared" si="8"/>
        <v>72421.479552500008</v>
      </c>
      <c r="L71" s="26"/>
      <c r="U71" s="1"/>
    </row>
    <row r="72" spans="1:21" x14ac:dyDescent="0.25">
      <c r="A72" s="26">
        <v>84130</v>
      </c>
      <c r="B72" s="9" t="s">
        <v>66</v>
      </c>
      <c r="C72" s="204">
        <v>7304.14</v>
      </c>
      <c r="D72" s="10"/>
      <c r="E72" s="3">
        <v>7.0000000000000007E-2</v>
      </c>
      <c r="F72" s="22">
        <v>7750</v>
      </c>
      <c r="G72" s="22">
        <f t="shared" si="10"/>
        <v>8292.5</v>
      </c>
      <c r="H72" s="22">
        <f t="shared" ref="H72:J87" si="11">+(G72*$E72)+G72</f>
        <v>8872.9750000000004</v>
      </c>
      <c r="I72" s="22">
        <f>+H72*(1+$E72+0.03)</f>
        <v>9760.2725000000009</v>
      </c>
      <c r="J72" s="22">
        <f>+I72*(1+$E72+0.03)</f>
        <v>10736.299750000002</v>
      </c>
      <c r="L72" s="26"/>
      <c r="U72" s="1"/>
    </row>
    <row r="73" spans="1:21" x14ac:dyDescent="0.25">
      <c r="A73" s="26">
        <v>84140</v>
      </c>
      <c r="B73" s="9" t="s">
        <v>67</v>
      </c>
      <c r="C73" s="204">
        <v>0</v>
      </c>
      <c r="D73" s="10"/>
      <c r="E73" s="3">
        <v>7.0000000000000007E-2</v>
      </c>
      <c r="F73" s="22">
        <v>20000</v>
      </c>
      <c r="G73" s="22">
        <f t="shared" si="10"/>
        <v>21400</v>
      </c>
      <c r="H73" s="22">
        <f t="shared" si="11"/>
        <v>22898</v>
      </c>
      <c r="I73" s="22">
        <f>+H73*(1+$E73+0.03)</f>
        <v>25187.800000000003</v>
      </c>
      <c r="J73" s="22">
        <f>+I73*(1+$E73+0.03)</f>
        <v>27706.580000000005</v>
      </c>
      <c r="L73" s="26"/>
      <c r="U73" s="1"/>
    </row>
    <row r="74" spans="1:21" x14ac:dyDescent="0.25">
      <c r="A74" s="26">
        <v>85050</v>
      </c>
      <c r="B74" s="9" t="s">
        <v>72</v>
      </c>
      <c r="C74" s="204">
        <v>11364</v>
      </c>
      <c r="D74" s="10"/>
      <c r="E74" s="3">
        <v>7.0000000000000007E-2</v>
      </c>
      <c r="F74" s="22">
        <v>18600</v>
      </c>
      <c r="G74" s="22">
        <f t="shared" si="10"/>
        <v>19902</v>
      </c>
      <c r="H74" s="22">
        <f t="shared" si="11"/>
        <v>21295.14</v>
      </c>
      <c r="I74" s="22">
        <f t="shared" si="11"/>
        <v>22785.799800000001</v>
      </c>
      <c r="J74" s="22">
        <f t="shared" si="11"/>
        <v>24380.805786000001</v>
      </c>
      <c r="L74" s="26"/>
      <c r="U74" s="1"/>
    </row>
    <row r="75" spans="1:21" x14ac:dyDescent="0.25">
      <c r="A75" s="26">
        <v>86000</v>
      </c>
      <c r="B75" s="9" t="s">
        <v>73</v>
      </c>
      <c r="C75" s="204">
        <v>5035.93</v>
      </c>
      <c r="D75" s="10"/>
      <c r="E75" s="3">
        <v>7.0000000000000007E-2</v>
      </c>
      <c r="F75" s="22">
        <v>8190</v>
      </c>
      <c r="G75" s="22">
        <f t="shared" si="10"/>
        <v>8763.3000000000011</v>
      </c>
      <c r="H75" s="22">
        <f t="shared" si="11"/>
        <v>9376.7310000000016</v>
      </c>
      <c r="I75" s="22">
        <f t="shared" si="11"/>
        <v>10033.102170000002</v>
      </c>
      <c r="J75" s="22">
        <f t="shared" si="11"/>
        <v>10735.419321900003</v>
      </c>
      <c r="L75" s="26"/>
      <c r="U75" s="1"/>
    </row>
    <row r="76" spans="1:21" x14ac:dyDescent="0.25">
      <c r="A76" s="26">
        <v>86005</v>
      </c>
      <c r="B76" s="9" t="s">
        <v>74</v>
      </c>
      <c r="C76" s="204">
        <v>0</v>
      </c>
      <c r="D76" s="10"/>
      <c r="E76" s="3">
        <v>7.0000000000000007E-2</v>
      </c>
      <c r="F76" s="22"/>
      <c r="G76" s="22">
        <f t="shared" si="10"/>
        <v>0</v>
      </c>
      <c r="H76" s="22">
        <f t="shared" si="11"/>
        <v>0</v>
      </c>
      <c r="I76" s="22">
        <f t="shared" si="11"/>
        <v>0</v>
      </c>
      <c r="J76" s="22">
        <f t="shared" si="11"/>
        <v>0</v>
      </c>
      <c r="L76" s="26"/>
      <c r="U76" s="1"/>
    </row>
    <row r="77" spans="1:21" x14ac:dyDescent="0.25">
      <c r="A77" s="26">
        <v>86010</v>
      </c>
      <c r="B77" s="9" t="s">
        <v>212</v>
      </c>
      <c r="C77" s="204">
        <v>0</v>
      </c>
      <c r="D77" s="10"/>
      <c r="E77" s="3">
        <v>0.05</v>
      </c>
      <c r="F77" s="22">
        <v>0</v>
      </c>
      <c r="G77" s="22">
        <f t="shared" si="10"/>
        <v>0</v>
      </c>
      <c r="H77" s="22">
        <f t="shared" si="11"/>
        <v>0</v>
      </c>
      <c r="I77" s="22">
        <f t="shared" si="11"/>
        <v>0</v>
      </c>
      <c r="J77" s="22">
        <f t="shared" si="11"/>
        <v>0</v>
      </c>
      <c r="L77" s="26"/>
      <c r="U77" s="1"/>
    </row>
    <row r="78" spans="1:21" x14ac:dyDescent="0.25">
      <c r="A78" s="26">
        <v>86015</v>
      </c>
      <c r="B78" s="9" t="s">
        <v>75</v>
      </c>
      <c r="C78" s="204">
        <v>16583</v>
      </c>
      <c r="D78" s="10"/>
      <c r="E78" s="3">
        <v>0.05</v>
      </c>
      <c r="F78" s="22">
        <v>16600</v>
      </c>
      <c r="G78" s="22">
        <f t="shared" si="10"/>
        <v>17430</v>
      </c>
      <c r="H78" s="22">
        <f t="shared" si="11"/>
        <v>18301.5</v>
      </c>
      <c r="I78" s="22">
        <f t="shared" si="11"/>
        <v>19216.575000000001</v>
      </c>
      <c r="J78" s="22">
        <f t="shared" si="11"/>
        <v>20177.403750000001</v>
      </c>
      <c r="L78" s="26"/>
      <c r="U78" s="1"/>
    </row>
    <row r="79" spans="1:21" x14ac:dyDescent="0.25">
      <c r="A79" s="26">
        <v>86020</v>
      </c>
      <c r="B79" s="9" t="s">
        <v>76</v>
      </c>
      <c r="C79" s="204">
        <v>284056</v>
      </c>
      <c r="D79" s="10"/>
      <c r="E79" s="3">
        <v>7.0000000000000007E-2</v>
      </c>
      <c r="F79" s="22">
        <v>301172</v>
      </c>
      <c r="G79" s="22">
        <f t="shared" si="10"/>
        <v>322254.04000000004</v>
      </c>
      <c r="H79" s="22">
        <f t="shared" si="11"/>
        <v>344811.82280000002</v>
      </c>
      <c r="I79" s="22">
        <f t="shared" si="11"/>
        <v>368948.65039600001</v>
      </c>
      <c r="J79" s="22">
        <f t="shared" si="11"/>
        <v>394775.05592372001</v>
      </c>
      <c r="L79" s="26"/>
      <c r="U79" s="1"/>
    </row>
    <row r="80" spans="1:21" x14ac:dyDescent="0.25">
      <c r="A80" s="26">
        <v>86030</v>
      </c>
      <c r="B80" s="9" t="s">
        <v>77</v>
      </c>
      <c r="C80" s="204">
        <v>1134740.8999999999</v>
      </c>
      <c r="D80" s="10"/>
      <c r="E80" s="3">
        <v>7.0000000000000007E-2</v>
      </c>
      <c r="F80" s="22">
        <v>1129276.73</v>
      </c>
      <c r="G80" s="22">
        <f t="shared" si="10"/>
        <v>1208326.1011000001</v>
      </c>
      <c r="H80" s="22">
        <f t="shared" si="11"/>
        <v>1292908.928177</v>
      </c>
      <c r="I80" s="22">
        <f t="shared" si="11"/>
        <v>1383412.55314939</v>
      </c>
      <c r="J80" s="22">
        <f t="shared" si="11"/>
        <v>1480251.4318698472</v>
      </c>
      <c r="L80" s="26"/>
      <c r="U80" s="1"/>
    </row>
    <row r="81" spans="1:21" x14ac:dyDescent="0.25">
      <c r="A81" s="26">
        <v>86035</v>
      </c>
      <c r="B81" s="9" t="s">
        <v>78</v>
      </c>
      <c r="C81" s="204">
        <v>15066.73</v>
      </c>
      <c r="D81" s="10"/>
      <c r="E81" s="3">
        <v>7.0000000000000007E-2</v>
      </c>
      <c r="F81" s="22">
        <v>15500</v>
      </c>
      <c r="G81" s="22">
        <f t="shared" si="10"/>
        <v>16585</v>
      </c>
      <c r="H81" s="22">
        <f t="shared" si="11"/>
        <v>17745.95</v>
      </c>
      <c r="I81" s="22">
        <f t="shared" si="11"/>
        <v>18988.166499999999</v>
      </c>
      <c r="J81" s="22">
        <f t="shared" si="11"/>
        <v>20317.338154999998</v>
      </c>
      <c r="L81" s="26"/>
      <c r="U81" s="1"/>
    </row>
    <row r="82" spans="1:21" x14ac:dyDescent="0.25">
      <c r="A82" s="26">
        <v>87100</v>
      </c>
      <c r="B82" s="9" t="s">
        <v>79</v>
      </c>
      <c r="C82" s="204">
        <v>5829.05</v>
      </c>
      <c r="D82" s="10"/>
      <c r="E82" s="3">
        <v>7.0000000000000007E-2</v>
      </c>
      <c r="F82" s="22">
        <v>15500</v>
      </c>
      <c r="G82" s="22">
        <f t="shared" si="10"/>
        <v>16585</v>
      </c>
      <c r="H82" s="22">
        <f t="shared" si="11"/>
        <v>17745.95</v>
      </c>
      <c r="I82" s="22">
        <f>+H82*(1+0.03+$E82)</f>
        <v>19520.545000000002</v>
      </c>
      <c r="J82" s="22">
        <f>+I82*(1+0.03+$E82)</f>
        <v>21472.599500000004</v>
      </c>
      <c r="L82" s="26"/>
      <c r="U82" s="1"/>
    </row>
    <row r="83" spans="1:21" s="16" customFormat="1" x14ac:dyDescent="0.25">
      <c r="A83" s="27"/>
      <c r="B83" s="12" t="s">
        <v>90</v>
      </c>
      <c r="C83" s="204"/>
      <c r="D83" s="13">
        <f>SUM(C12:C83)</f>
        <v>8097330.3200000012</v>
      </c>
      <c r="E83" s="14"/>
      <c r="F83" s="246">
        <f>SUM(F12:F82)</f>
        <v>9220308.5499999989</v>
      </c>
      <c r="G83" s="135">
        <f>SUM(G12:G82)</f>
        <v>9769695.3710999992</v>
      </c>
      <c r="H83" s="135">
        <f>SUM(H12:H82)</f>
        <v>10370526.322032999</v>
      </c>
      <c r="I83" s="135">
        <f>SUM(I12:I82)</f>
        <v>11040984.64030752</v>
      </c>
      <c r="J83" s="135">
        <f>SUM(J12:J82)</f>
        <v>11761006.500085849</v>
      </c>
      <c r="L83" s="27"/>
      <c r="N83" s="15"/>
      <c r="O83" s="15"/>
      <c r="P83" s="15"/>
      <c r="Q83" s="15"/>
      <c r="R83" s="15"/>
      <c r="S83" s="15"/>
      <c r="T83" s="15"/>
    </row>
    <row r="84" spans="1:21" x14ac:dyDescent="0.25">
      <c r="A84" s="2">
        <v>70170</v>
      </c>
      <c r="B84" s="9" t="s">
        <v>22</v>
      </c>
      <c r="C84" s="204">
        <v>989452.38</v>
      </c>
      <c r="D84" s="10"/>
      <c r="E84" s="3">
        <v>0.1</v>
      </c>
      <c r="F84" s="22">
        <v>1023311.15</v>
      </c>
      <c r="G84" s="22">
        <f t="shared" si="10"/>
        <v>1125642.2650000001</v>
      </c>
      <c r="H84" s="22">
        <f t="shared" ref="H84:I88" si="12">+(G84*$E84)+G84</f>
        <v>1238206.4915000002</v>
      </c>
      <c r="I84" s="22">
        <f t="shared" si="12"/>
        <v>1362027.1406500002</v>
      </c>
      <c r="J84" s="22">
        <f t="shared" si="11"/>
        <v>1498229.8547150001</v>
      </c>
      <c r="L84" s="2"/>
      <c r="U84" s="1"/>
    </row>
    <row r="85" spans="1:21" x14ac:dyDescent="0.25">
      <c r="A85" s="2">
        <v>70190</v>
      </c>
      <c r="B85" s="9" t="s">
        <v>23</v>
      </c>
      <c r="C85" s="204">
        <v>8326</v>
      </c>
      <c r="D85" s="10"/>
      <c r="E85" s="3">
        <v>7.0000000000000007E-2</v>
      </c>
      <c r="F85" s="22">
        <v>0</v>
      </c>
      <c r="G85" s="22">
        <f t="shared" si="10"/>
        <v>0</v>
      </c>
      <c r="H85" s="22">
        <f t="shared" si="12"/>
        <v>0</v>
      </c>
      <c r="I85" s="22">
        <f t="shared" si="12"/>
        <v>0</v>
      </c>
      <c r="J85" s="22">
        <f t="shared" si="11"/>
        <v>0</v>
      </c>
      <c r="L85" s="2"/>
      <c r="U85" s="1"/>
    </row>
    <row r="86" spans="1:21" x14ac:dyDescent="0.25">
      <c r="A86" s="26">
        <v>71310</v>
      </c>
      <c r="B86" s="9" t="s">
        <v>40</v>
      </c>
      <c r="C86" s="204">
        <v>145470</v>
      </c>
      <c r="D86" s="10"/>
      <c r="E86" s="3">
        <v>7.0000000000000007E-2</v>
      </c>
      <c r="F86" s="22">
        <v>150000</v>
      </c>
      <c r="G86" s="22">
        <f t="shared" si="10"/>
        <v>160500</v>
      </c>
      <c r="H86" s="22">
        <f t="shared" si="12"/>
        <v>171735</v>
      </c>
      <c r="I86" s="22">
        <f t="shared" si="12"/>
        <v>183756.45</v>
      </c>
      <c r="J86" s="22">
        <f t="shared" si="11"/>
        <v>196619.40150000001</v>
      </c>
      <c r="L86" s="26"/>
      <c r="U86" s="1"/>
    </row>
    <row r="87" spans="1:21" x14ac:dyDescent="0.25">
      <c r="A87" s="26">
        <v>83000</v>
      </c>
      <c r="B87" s="9" t="s">
        <v>58</v>
      </c>
      <c r="C87" s="204">
        <v>404836</v>
      </c>
      <c r="D87" s="10"/>
      <c r="E87" s="3">
        <v>7.0000000000000007E-2</v>
      </c>
      <c r="F87" s="22">
        <v>522000</v>
      </c>
      <c r="G87" s="22">
        <f t="shared" si="10"/>
        <v>558540</v>
      </c>
      <c r="H87" s="22">
        <f t="shared" si="12"/>
        <v>597637.80000000005</v>
      </c>
      <c r="I87" s="22">
        <f t="shared" si="12"/>
        <v>639472.446</v>
      </c>
      <c r="J87" s="22">
        <f t="shared" si="11"/>
        <v>684235.51722000004</v>
      </c>
      <c r="L87" s="26"/>
      <c r="U87" s="1"/>
    </row>
    <row r="88" spans="1:21" x14ac:dyDescent="0.25">
      <c r="A88" s="2">
        <v>70160</v>
      </c>
      <c r="B88" s="9" t="s">
        <v>21</v>
      </c>
      <c r="C88" s="204">
        <v>504179.74999999994</v>
      </c>
      <c r="D88" s="10"/>
      <c r="E88" s="3">
        <v>0.1</v>
      </c>
      <c r="F88" s="22">
        <v>464161.76</v>
      </c>
      <c r="G88" s="22">
        <f t="shared" si="10"/>
        <v>510577.93600000005</v>
      </c>
      <c r="H88" s="22">
        <f t="shared" si="12"/>
        <v>561635.72960000008</v>
      </c>
      <c r="I88" s="22">
        <f t="shared" si="12"/>
        <v>617799.3025600001</v>
      </c>
      <c r="J88" s="22">
        <f>+(I88*$E88)+I88</f>
        <v>679579.23281600012</v>
      </c>
      <c r="L88" s="2"/>
      <c r="U88" s="1"/>
    </row>
    <row r="89" spans="1:21" s="16" customFormat="1" x14ac:dyDescent="0.25">
      <c r="A89" s="27"/>
      <c r="B89" s="12" t="s">
        <v>3</v>
      </c>
      <c r="C89" s="204"/>
      <c r="D89" s="13">
        <f>SUM(C84:C89)</f>
        <v>2052264.13</v>
      </c>
      <c r="E89" s="14"/>
      <c r="F89" s="246">
        <f>SUM(F84:F88)</f>
        <v>2159472.91</v>
      </c>
      <c r="G89" s="135">
        <f>SUM(G84:G88)</f>
        <v>2355260.2010000004</v>
      </c>
      <c r="H89" s="135">
        <f>SUM(H84:H88)</f>
        <v>2569215.0211000005</v>
      </c>
      <c r="I89" s="135">
        <f>SUM(I84:I88)</f>
        <v>2803055.3392100004</v>
      </c>
      <c r="J89" s="135">
        <f>SUM(J84:J88)</f>
        <v>3058664.0062510003</v>
      </c>
      <c r="L89" s="27"/>
      <c r="N89" s="15"/>
      <c r="O89" s="15"/>
      <c r="P89" s="15"/>
      <c r="Q89" s="15"/>
      <c r="R89" s="15"/>
      <c r="S89" s="15"/>
      <c r="T89" s="15"/>
    </row>
    <row r="90" spans="1:21" s="16" customFormat="1" x14ac:dyDescent="0.25">
      <c r="A90" s="26">
        <v>73010</v>
      </c>
      <c r="B90" s="9" t="s">
        <v>389</v>
      </c>
      <c r="C90" s="204">
        <v>0</v>
      </c>
      <c r="D90" s="10"/>
      <c r="E90" s="3">
        <v>0</v>
      </c>
      <c r="F90" s="22">
        <v>13900</v>
      </c>
      <c r="G90" s="22">
        <v>200000</v>
      </c>
      <c r="H90" s="22">
        <f>+G90</f>
        <v>200000</v>
      </c>
      <c r="I90" s="22">
        <f>+H90</f>
        <v>200000</v>
      </c>
      <c r="J90" s="22">
        <f>+(I90*$E90)+I90</f>
        <v>200000</v>
      </c>
      <c r="L90" s="26"/>
      <c r="N90" s="15"/>
      <c r="O90" s="15"/>
      <c r="P90" s="15"/>
      <c r="Q90" s="15"/>
      <c r="R90" s="15"/>
      <c r="S90" s="15"/>
      <c r="T90" s="15"/>
    </row>
    <row r="91" spans="1:21" s="16" customFormat="1" x14ac:dyDescent="0.25">
      <c r="A91" s="26">
        <v>73015</v>
      </c>
      <c r="B91" s="9" t="s">
        <v>390</v>
      </c>
      <c r="C91" s="204">
        <v>0</v>
      </c>
      <c r="D91" s="10"/>
      <c r="E91" s="3">
        <v>0</v>
      </c>
      <c r="F91" s="22"/>
      <c r="G91" s="22">
        <f t="shared" si="10"/>
        <v>0</v>
      </c>
      <c r="H91" s="22">
        <f>+G91</f>
        <v>0</v>
      </c>
      <c r="I91" s="22">
        <f>+H91</f>
        <v>0</v>
      </c>
      <c r="J91" s="22">
        <f>+(I91*$E91)+I91</f>
        <v>0</v>
      </c>
      <c r="L91" s="26"/>
      <c r="N91" s="15"/>
      <c r="O91" s="15"/>
      <c r="P91" s="15"/>
      <c r="Q91" s="15"/>
      <c r="R91" s="15"/>
      <c r="S91" s="15"/>
      <c r="T91" s="15"/>
    </row>
    <row r="92" spans="1:21" s="16" customFormat="1" x14ac:dyDescent="0.25">
      <c r="A92" s="27"/>
      <c r="B92" s="12" t="s">
        <v>277</v>
      </c>
      <c r="C92" s="204"/>
      <c r="D92" s="13">
        <f>SUM(C90:C92)</f>
        <v>0</v>
      </c>
      <c r="E92" s="14"/>
      <c r="F92" s="246">
        <f>SUM(F90:F91)</f>
        <v>13900</v>
      </c>
      <c r="G92" s="135">
        <f>SUM(G90:G91)</f>
        <v>200000</v>
      </c>
      <c r="H92" s="135">
        <f>SUM(H90:H91)</f>
        <v>200000</v>
      </c>
      <c r="I92" s="135">
        <f>SUM(I90:I91)</f>
        <v>200000</v>
      </c>
      <c r="J92" s="135">
        <f>SUM(J90:J91)</f>
        <v>200000</v>
      </c>
      <c r="L92" s="27"/>
      <c r="N92" s="15"/>
      <c r="O92" s="15"/>
      <c r="P92" s="15"/>
      <c r="Q92" s="15"/>
      <c r="R92" s="15"/>
      <c r="S92" s="15"/>
      <c r="T92" s="15"/>
    </row>
    <row r="93" spans="1:21" x14ac:dyDescent="0.25">
      <c r="A93" s="26">
        <v>85000</v>
      </c>
      <c r="B93" s="9" t="s">
        <v>68</v>
      </c>
      <c r="C93" s="204">
        <v>779390.58000000007</v>
      </c>
      <c r="D93" s="10"/>
      <c r="E93" s="3">
        <v>7.4999999999999997E-2</v>
      </c>
      <c r="F93" s="22">
        <v>860000</v>
      </c>
      <c r="G93" s="22">
        <f t="shared" si="10"/>
        <v>924500</v>
      </c>
      <c r="H93" s="22">
        <f>+(G93*$E93)+G93</f>
        <v>993837.5</v>
      </c>
      <c r="I93" s="22">
        <f>+H93*(1+0.03+E93)</f>
        <v>1098190.4375</v>
      </c>
      <c r="J93" s="22">
        <f>+I93*(0.03+E93+1)</f>
        <v>1213500.4334374999</v>
      </c>
      <c r="L93" s="26"/>
      <c r="U93" s="1"/>
    </row>
    <row r="94" spans="1:21" x14ac:dyDescent="0.25">
      <c r="A94" s="26">
        <v>85010</v>
      </c>
      <c r="B94" s="9" t="s">
        <v>69</v>
      </c>
      <c r="C94" s="204">
        <v>12421.63</v>
      </c>
      <c r="D94" s="10"/>
      <c r="E94" s="3">
        <v>7.4999999999999997E-2</v>
      </c>
      <c r="F94" s="22">
        <v>10000</v>
      </c>
      <c r="G94" s="22">
        <f t="shared" si="10"/>
        <v>10750</v>
      </c>
      <c r="H94" s="22">
        <f>+(G94*$E94)+G94</f>
        <v>11556.25</v>
      </c>
      <c r="I94" s="22">
        <f>+H94*(1+0.03+E94)</f>
        <v>12769.65625</v>
      </c>
      <c r="J94" s="22">
        <f>+I94*(0.03+E94+1)</f>
        <v>14110.470156249999</v>
      </c>
      <c r="L94" s="26"/>
      <c r="U94" s="1"/>
    </row>
    <row r="95" spans="1:21" x14ac:dyDescent="0.25">
      <c r="A95" s="26">
        <v>85040</v>
      </c>
      <c r="B95" s="9" t="s">
        <v>70</v>
      </c>
      <c r="C95" s="204">
        <v>250375.99</v>
      </c>
      <c r="D95" s="10"/>
      <c r="E95" s="3">
        <v>7.4999999999999997E-2</v>
      </c>
      <c r="F95" s="22">
        <v>250000</v>
      </c>
      <c r="G95" s="22">
        <f t="shared" si="10"/>
        <v>268750</v>
      </c>
      <c r="H95" s="22">
        <f>+(G95*$E95)+G95</f>
        <v>288906.25</v>
      </c>
      <c r="I95" s="22">
        <f>+H95*(1+0.03+E95)</f>
        <v>319241.40625</v>
      </c>
      <c r="J95" s="22">
        <f>+I95*(0.03+E95+1)</f>
        <v>352761.75390625</v>
      </c>
      <c r="L95" s="26"/>
      <c r="U95" s="1"/>
    </row>
    <row r="96" spans="1:21" x14ac:dyDescent="0.25">
      <c r="A96" s="26">
        <v>85045</v>
      </c>
      <c r="B96" s="9" t="s">
        <v>71</v>
      </c>
      <c r="C96" s="204">
        <v>428954.82999999996</v>
      </c>
      <c r="D96" s="10"/>
      <c r="E96" s="3">
        <v>7.4999999999999997E-2</v>
      </c>
      <c r="F96" s="22">
        <v>495000</v>
      </c>
      <c r="G96" s="22">
        <f t="shared" si="10"/>
        <v>532125</v>
      </c>
      <c r="H96" s="22">
        <f>+(G96*$E96)+G96</f>
        <v>572034.375</v>
      </c>
      <c r="I96" s="22">
        <f>+H96*(1+0.03+E96)</f>
        <v>632097.984375</v>
      </c>
      <c r="J96" s="22">
        <f>+I96*(0.03+E96+1)</f>
        <v>698468.27273437497</v>
      </c>
      <c r="L96" s="26"/>
      <c r="U96" s="1"/>
    </row>
    <row r="97" spans="1:21" s="16" customFormat="1" x14ac:dyDescent="0.25">
      <c r="A97" s="11"/>
      <c r="B97" s="12" t="s">
        <v>89</v>
      </c>
      <c r="C97" s="207"/>
      <c r="D97" s="13">
        <f>SUM(C93:C97)</f>
        <v>1471143.03</v>
      </c>
      <c r="E97" s="14"/>
      <c r="F97" s="246">
        <f>SUM(F93:F96)</f>
        <v>1615000</v>
      </c>
      <c r="G97" s="135">
        <f>SUM(G93:G96)</f>
        <v>1736125</v>
      </c>
      <c r="H97" s="135">
        <f>SUM(H93:H96)</f>
        <v>1866334.375</v>
      </c>
      <c r="I97" s="135">
        <f>SUM(I93:I96)</f>
        <v>2062299.484375</v>
      </c>
      <c r="J97" s="135">
        <f>SUM(J93:J96)</f>
        <v>2278840.9302343749</v>
      </c>
      <c r="K97" s="4"/>
      <c r="L97" s="4"/>
      <c r="M97" s="22"/>
      <c r="N97" s="15"/>
      <c r="O97" s="15"/>
      <c r="P97" s="15"/>
      <c r="Q97" s="15"/>
      <c r="R97" s="15"/>
      <c r="S97" s="15"/>
      <c r="T97" s="15"/>
    </row>
    <row r="98" spans="1:21" x14ac:dyDescent="0.25">
      <c r="C98" s="198"/>
      <c r="D98" s="18"/>
      <c r="E98" s="3"/>
      <c r="F98" s="247"/>
      <c r="H98" s="22"/>
      <c r="I98" s="22"/>
      <c r="U98" s="1"/>
    </row>
    <row r="99" spans="1:21" ht="15.75" thickBot="1" x14ac:dyDescent="0.3">
      <c r="B99" s="9" t="s">
        <v>80</v>
      </c>
      <c r="C99" s="203">
        <f>SUM(C4:C98)</f>
        <v>30095561.509999998</v>
      </c>
      <c r="D99" s="19">
        <f>SUM(D4:D98)</f>
        <v>30095561.510000002</v>
      </c>
      <c r="E99" s="3"/>
      <c r="F99" s="248">
        <f>+F11+F83+F89+F92+F97</f>
        <v>31788639.510000002</v>
      </c>
      <c r="G99" s="136">
        <f>+G11+G83+G89+G92+G97</f>
        <v>33739899.215000004</v>
      </c>
      <c r="H99" s="136">
        <f>+H11+H83+H89+H92+H97</f>
        <v>35630131.776122004</v>
      </c>
      <c r="I99" s="136">
        <f>+I11+I83+I89+I92+I97</f>
        <v>37724628.014764972</v>
      </c>
      <c r="J99" s="136">
        <f>+J11+J83+J89+J92+J97</f>
        <v>39962808.068110675</v>
      </c>
      <c r="U99" s="1"/>
    </row>
    <row r="100" spans="1:21" ht="15.75" thickTop="1" x14ac:dyDescent="0.25">
      <c r="C100" s="205"/>
      <c r="D100" s="20"/>
      <c r="E100" s="3"/>
      <c r="F100" s="247"/>
      <c r="H100" s="22"/>
      <c r="I100" s="22"/>
      <c r="U100" s="1"/>
    </row>
    <row r="101" spans="1:21" x14ac:dyDescent="0.25">
      <c r="C101" s="206"/>
      <c r="D101" s="21"/>
      <c r="E101" s="3"/>
      <c r="F101" s="249">
        <f>+(F99-C99)/C99</f>
        <v>5.6256734051545659E-2</v>
      </c>
      <c r="G101" s="33">
        <f>+(G99-F99)/F99</f>
        <v>6.1382296791474167E-2</v>
      </c>
      <c r="H101" s="33">
        <f>+(H99-G99)/G99</f>
        <v>5.6023657601254634E-2</v>
      </c>
      <c r="I101" s="33">
        <f>+(I99-H99)/H99</f>
        <v>5.878440898853543E-2</v>
      </c>
      <c r="J101" s="33">
        <f>+(J99-I99)/I99</f>
        <v>5.9329413466176671E-2</v>
      </c>
      <c r="U101" s="1"/>
    </row>
    <row r="102" spans="1:21" x14ac:dyDescent="0.25">
      <c r="B102" s="1" t="s">
        <v>84</v>
      </c>
      <c r="C102" s="202">
        <v>31665464</v>
      </c>
      <c r="D102" s="22"/>
      <c r="E102" s="3"/>
      <c r="F102" s="247"/>
      <c r="H102" s="22"/>
      <c r="I102" s="22"/>
      <c r="J102" s="22"/>
      <c r="U102" s="1"/>
    </row>
    <row r="103" spans="1:21" x14ac:dyDescent="0.25">
      <c r="B103" s="32" t="s">
        <v>85</v>
      </c>
      <c r="C103" s="202">
        <f>+C102-C99</f>
        <v>1569902.4900000021</v>
      </c>
      <c r="D103" s="22"/>
      <c r="E103" s="3"/>
      <c r="F103" s="247"/>
      <c r="H103" s="22"/>
      <c r="I103" s="22"/>
      <c r="J103" s="22"/>
      <c r="U103" s="1"/>
    </row>
    <row r="104" spans="1:21" x14ac:dyDescent="0.25">
      <c r="A104" s="134"/>
      <c r="B104" s="32"/>
      <c r="C104" s="22"/>
      <c r="D104" s="22"/>
      <c r="E104" s="3"/>
      <c r="F104" s="247"/>
      <c r="H104" s="22"/>
      <c r="I104" s="22"/>
      <c r="J104" s="22"/>
      <c r="U104" s="1"/>
    </row>
    <row r="105" spans="1:21" x14ac:dyDescent="0.25">
      <c r="A105" s="28">
        <v>79100</v>
      </c>
      <c r="B105" s="1" t="s">
        <v>87</v>
      </c>
      <c r="C105" s="202">
        <v>1056464</v>
      </c>
      <c r="D105" s="22"/>
      <c r="E105" s="3"/>
      <c r="F105" s="247"/>
      <c r="H105" s="22"/>
      <c r="I105" s="22"/>
      <c r="J105" s="22"/>
      <c r="U105" s="1"/>
    </row>
    <row r="106" spans="1:21" x14ac:dyDescent="0.25">
      <c r="A106" s="28">
        <v>79150</v>
      </c>
      <c r="B106" s="1" t="s">
        <v>225</v>
      </c>
      <c r="C106" s="202">
        <v>56596</v>
      </c>
      <c r="D106" s="22"/>
      <c r="E106" s="3"/>
      <c r="F106" s="247"/>
      <c r="H106" s="22"/>
      <c r="I106" s="22"/>
      <c r="J106" s="22"/>
      <c r="U106" s="1"/>
    </row>
    <row r="107" spans="1:21" x14ac:dyDescent="0.25">
      <c r="A107" s="28">
        <v>79210</v>
      </c>
      <c r="B107" s="1" t="s">
        <v>226</v>
      </c>
      <c r="C107" s="202">
        <v>442842.02</v>
      </c>
      <c r="D107" s="22"/>
      <c r="E107" s="3"/>
      <c r="F107" s="247"/>
      <c r="H107" s="22"/>
      <c r="I107" s="22"/>
      <c r="J107" s="22"/>
      <c r="U107" s="1"/>
    </row>
    <row r="108" spans="1:21" x14ac:dyDescent="0.25">
      <c r="A108" s="28">
        <v>79211</v>
      </c>
      <c r="B108" s="1" t="s">
        <v>227</v>
      </c>
      <c r="C108" s="202">
        <v>0</v>
      </c>
      <c r="D108" s="22"/>
      <c r="E108" s="3"/>
      <c r="F108" s="247"/>
      <c r="H108" s="155"/>
      <c r="I108" s="156"/>
      <c r="J108" s="22"/>
      <c r="U108" s="1"/>
    </row>
    <row r="109" spans="1:21" x14ac:dyDescent="0.25">
      <c r="A109" s="28">
        <v>79212</v>
      </c>
      <c r="B109" s="1" t="s">
        <v>228</v>
      </c>
      <c r="C109" s="202">
        <v>14000.04</v>
      </c>
      <c r="D109" s="22"/>
      <c r="E109" s="3"/>
      <c r="F109" s="247"/>
      <c r="H109" s="155"/>
      <c r="I109" s="156"/>
      <c r="J109" s="22"/>
      <c r="U109" s="1"/>
    </row>
    <row r="110" spans="1:21" x14ac:dyDescent="0.25">
      <c r="C110" s="10"/>
      <c r="D110" s="22"/>
      <c r="E110" s="3"/>
      <c r="F110" s="3"/>
      <c r="H110" s="155"/>
      <c r="I110" s="156"/>
      <c r="J110" s="23"/>
      <c r="U110" s="1"/>
    </row>
    <row r="111" spans="1:21" x14ac:dyDescent="0.25">
      <c r="B111" s="1" t="s">
        <v>86</v>
      </c>
      <c r="C111" s="30">
        <f>+C103-SUM(C105:C110)</f>
        <v>0.43000000203028321</v>
      </c>
      <c r="D111" s="23"/>
      <c r="E111" s="3"/>
      <c r="F111" s="3"/>
      <c r="H111" s="155"/>
      <c r="I111" s="156"/>
      <c r="J111" s="156"/>
      <c r="U111" s="1"/>
    </row>
    <row r="112" spans="1:21" x14ac:dyDescent="0.25">
      <c r="C112" s="31"/>
      <c r="D112" s="22"/>
      <c r="E112" s="3"/>
      <c r="F112" s="3"/>
      <c r="H112" s="155"/>
      <c r="I112" s="156"/>
      <c r="J112" s="156"/>
      <c r="U112" s="1"/>
    </row>
    <row r="113" spans="1:21" x14ac:dyDescent="0.25">
      <c r="A113" s="134"/>
      <c r="B113" s="1" t="s">
        <v>13</v>
      </c>
      <c r="C113" s="31"/>
      <c r="D113" s="22"/>
      <c r="E113" s="3"/>
      <c r="F113" s="3"/>
      <c r="H113" s="155"/>
      <c r="I113" s="156"/>
      <c r="J113" s="156"/>
      <c r="U113" s="1"/>
    </row>
    <row r="114" spans="1:21" x14ac:dyDescent="0.25">
      <c r="C114" s="31"/>
      <c r="D114" s="22"/>
      <c r="E114" s="3"/>
      <c r="F114" s="3"/>
      <c r="H114" s="23"/>
      <c r="I114" s="23"/>
      <c r="J114" s="156"/>
      <c r="U114" s="1"/>
    </row>
    <row r="115" spans="1:21" x14ac:dyDescent="0.25">
      <c r="B115" s="24" t="s">
        <v>280</v>
      </c>
      <c r="C115" s="210">
        <f>SUM(C111:C114)</f>
        <v>0.43000000203028321</v>
      </c>
      <c r="D115" s="23"/>
      <c r="E115" s="3"/>
      <c r="F115" s="3"/>
      <c r="H115" s="22"/>
      <c r="I115" s="22"/>
      <c r="J115" s="156"/>
      <c r="U115" s="1"/>
    </row>
    <row r="116" spans="1:21" x14ac:dyDescent="0.25">
      <c r="C116" s="1"/>
      <c r="E116" s="3"/>
      <c r="F116" s="3"/>
      <c r="H116" s="22"/>
      <c r="I116" s="22"/>
      <c r="J116" s="23"/>
      <c r="U116" s="1"/>
    </row>
    <row r="117" spans="1:21" x14ac:dyDescent="0.25">
      <c r="C117" s="1"/>
      <c r="E117" s="3"/>
      <c r="F117" s="3"/>
      <c r="H117" s="22"/>
      <c r="I117" s="22"/>
      <c r="J117" s="22"/>
      <c r="U117" s="1"/>
    </row>
    <row r="118" spans="1:21" x14ac:dyDescent="0.25">
      <c r="B118" s="32" t="s">
        <v>234</v>
      </c>
      <c r="C118" s="1"/>
      <c r="E118" s="3"/>
      <c r="F118" s="3"/>
      <c r="H118" s="22"/>
      <c r="I118" s="22"/>
      <c r="J118" s="22"/>
      <c r="U118" s="1"/>
    </row>
    <row r="119" spans="1:21" x14ac:dyDescent="0.25">
      <c r="B119" s="32"/>
      <c r="C119" s="1"/>
      <c r="E119" s="3"/>
      <c r="F119" s="3"/>
      <c r="H119" s="22"/>
      <c r="I119" s="22"/>
      <c r="J119" s="22"/>
      <c r="U119" s="1"/>
    </row>
    <row r="120" spans="1:21" x14ac:dyDescent="0.25">
      <c r="A120" s="28">
        <v>79210</v>
      </c>
      <c r="B120" s="9" t="s">
        <v>83</v>
      </c>
      <c r="C120" s="232">
        <f>+C107</f>
        <v>442842.02</v>
      </c>
      <c r="D120" s="10"/>
      <c r="E120" s="3" t="s">
        <v>240</v>
      </c>
      <c r="F120" s="10">
        <f>+'Debt Service'!B8</f>
        <v>700079.55</v>
      </c>
      <c r="G120" s="10">
        <f>+'Debt Service'!C8</f>
        <v>1122815.0650000002</v>
      </c>
      <c r="H120" s="10">
        <f>+'Debt Service'!D8</f>
        <v>1181712.5</v>
      </c>
      <c r="I120" s="10">
        <f>+'Debt Service'!E8</f>
        <v>1143887.5</v>
      </c>
      <c r="J120" s="10">
        <f>+'Debt Service'!F8</f>
        <v>1105000</v>
      </c>
      <c r="U120" s="1"/>
    </row>
    <row r="121" spans="1:21" x14ac:dyDescent="0.25">
      <c r="A121" s="28">
        <v>79212</v>
      </c>
      <c r="B121" s="9" t="s">
        <v>195</v>
      </c>
      <c r="C121" s="10">
        <v>14000</v>
      </c>
      <c r="D121" s="10"/>
      <c r="E121" s="3" t="s">
        <v>240</v>
      </c>
      <c r="F121" s="22">
        <f>+'Debt Service'!B10</f>
        <v>14000</v>
      </c>
      <c r="G121" s="22">
        <f>+'Debt Service'!C10</f>
        <v>14000</v>
      </c>
      <c r="H121" s="22">
        <f>+'Debt Service'!D10</f>
        <v>14000</v>
      </c>
      <c r="I121" s="22">
        <f>+'Debt Service'!E10</f>
        <v>14000</v>
      </c>
      <c r="J121" s="22">
        <f>+'Debt Service'!F10</f>
        <v>14000</v>
      </c>
      <c r="U121" s="1"/>
    </row>
    <row r="122" spans="1:21" x14ac:dyDescent="0.25">
      <c r="A122" s="28">
        <v>79100</v>
      </c>
      <c r="B122" s="1" t="s">
        <v>91</v>
      </c>
      <c r="C122" s="232">
        <f>+C105</f>
        <v>1056464</v>
      </c>
      <c r="D122" s="25"/>
      <c r="E122" s="3" t="s">
        <v>240</v>
      </c>
      <c r="F122" s="222">
        <f>Depreciation!E16</f>
        <v>991820.05440000002</v>
      </c>
      <c r="G122" s="222">
        <f>Depreciation!F16</f>
        <v>931387.19640000002</v>
      </c>
      <c r="H122" s="222">
        <f>Depreciation!G16</f>
        <v>1631887.1964</v>
      </c>
      <c r="I122" s="222">
        <f>Depreciation!H16</f>
        <v>1632387.1964</v>
      </c>
      <c r="J122" s="222">
        <f>Depreciation!I16</f>
        <v>1632887.1964</v>
      </c>
      <c r="U122" s="1"/>
    </row>
    <row r="123" spans="1:21" x14ac:dyDescent="0.25">
      <c r="A123" s="28">
        <v>79150</v>
      </c>
      <c r="B123" s="1" t="s">
        <v>224</v>
      </c>
      <c r="C123" s="232">
        <f>+C106</f>
        <v>56596</v>
      </c>
      <c r="D123" s="25"/>
      <c r="E123" s="3" t="s">
        <v>240</v>
      </c>
      <c r="F123" s="22">
        <v>55964</v>
      </c>
      <c r="G123" s="22">
        <v>58706</v>
      </c>
      <c r="H123" s="22">
        <v>61583</v>
      </c>
      <c r="I123" s="4">
        <v>64600</v>
      </c>
      <c r="J123" s="4">
        <v>67766</v>
      </c>
      <c r="U123" s="1"/>
    </row>
    <row r="124" spans="1:21" x14ac:dyDescent="0.25">
      <c r="A124" s="134"/>
      <c r="C124" s="10"/>
      <c r="D124" s="25"/>
      <c r="E124" s="3"/>
      <c r="F124" s="3"/>
      <c r="H124" s="22"/>
      <c r="I124" s="22"/>
      <c r="J124" s="22"/>
      <c r="U124" s="1"/>
    </row>
    <row r="125" spans="1:21" x14ac:dyDescent="0.25">
      <c r="C125" s="1" t="s">
        <v>92</v>
      </c>
      <c r="E125" s="3"/>
      <c r="F125" s="137">
        <f>+SUM(F120:F123)</f>
        <v>1761863.6044000001</v>
      </c>
      <c r="G125" s="137">
        <f>+SUM(G120:G123)</f>
        <v>2126908.2614000002</v>
      </c>
      <c r="H125" s="137">
        <f>+SUM(H120:H123)</f>
        <v>2889182.6963999998</v>
      </c>
      <c r="I125" s="137">
        <f>+SUM(I120:I123)</f>
        <v>2854874.6963999998</v>
      </c>
      <c r="J125" s="137">
        <f>+SUM(J120:J123)</f>
        <v>2819653.1963999998</v>
      </c>
      <c r="U125" s="1"/>
    </row>
    <row r="126" spans="1:21" x14ac:dyDescent="0.25">
      <c r="C126" s="1"/>
      <c r="E126" s="3"/>
      <c r="F126" s="3"/>
      <c r="H126" s="22"/>
      <c r="I126" s="22"/>
      <c r="J126" s="22"/>
      <c r="U126" s="1"/>
    </row>
    <row r="127" spans="1:21" ht="15.75" thickBot="1" x14ac:dyDescent="0.3">
      <c r="C127" s="1" t="s">
        <v>93</v>
      </c>
      <c r="E127" s="3"/>
      <c r="F127" s="136">
        <f>+F125+F99</f>
        <v>33550503.114400003</v>
      </c>
      <c r="G127" s="136">
        <f>+G125+G99</f>
        <v>35866807.476400003</v>
      </c>
      <c r="H127" s="136">
        <f>+H125+H99</f>
        <v>38519314.472522005</v>
      </c>
      <c r="I127" s="136">
        <f>+I125+I99</f>
        <v>40579502.711164974</v>
      </c>
      <c r="J127" s="136">
        <f>+J125+J99</f>
        <v>42782461.264510676</v>
      </c>
      <c r="U127" s="1"/>
    </row>
    <row r="128" spans="1:21" ht="15.75" thickTop="1" x14ac:dyDescent="0.25"/>
    <row r="130" spans="3:11" x14ac:dyDescent="0.25">
      <c r="C130" s="141"/>
      <c r="D130" s="65"/>
    </row>
    <row r="131" spans="3:11" x14ac:dyDescent="0.25">
      <c r="C131" s="141"/>
      <c r="D131" s="65"/>
    </row>
    <row r="132" spans="3:11" x14ac:dyDescent="0.25">
      <c r="C132" s="141"/>
      <c r="D132" s="65"/>
      <c r="H132" s="22"/>
      <c r="I132" s="22"/>
      <c r="J132" s="22"/>
      <c r="K132" s="33"/>
    </row>
    <row r="133" spans="3:11" x14ac:dyDescent="0.25">
      <c r="C133" s="141"/>
      <c r="D133" s="65"/>
    </row>
    <row r="134" spans="3:11" x14ac:dyDescent="0.25">
      <c r="C134" s="141"/>
      <c r="D134" s="65"/>
    </row>
    <row r="135" spans="3:11" x14ac:dyDescent="0.25">
      <c r="C135" s="141"/>
      <c r="D135" s="65"/>
    </row>
  </sheetData>
  <phoneticPr fontId="8" type="noConversion"/>
  <printOptions gridLines="1"/>
  <pageMargins left="0.5" right="0" top="0.75" bottom="0.75" header="0.5" footer="0.5"/>
  <pageSetup scale="7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8" sqref="B8"/>
    </sheetView>
  </sheetViews>
  <sheetFormatPr defaultColWidth="54.140625" defaultRowHeight="14.25" x14ac:dyDescent="0.2"/>
  <cols>
    <col min="1" max="1" width="48.7109375" style="54" bestFit="1" customWidth="1"/>
    <col min="2" max="6" width="15.7109375" style="54" bestFit="1" customWidth="1"/>
    <col min="7" max="16384" width="54.140625" style="54"/>
  </cols>
  <sheetData>
    <row r="1" spans="1:7" ht="15" x14ac:dyDescent="0.25">
      <c r="A1" s="59" t="s">
        <v>103</v>
      </c>
    </row>
    <row r="2" spans="1:7" x14ac:dyDescent="0.2">
      <c r="A2" s="54" t="s">
        <v>241</v>
      </c>
    </row>
    <row r="4" spans="1:7" x14ac:dyDescent="0.2">
      <c r="A4" s="54" t="s">
        <v>100</v>
      </c>
      <c r="B4" s="54">
        <v>2015</v>
      </c>
    </row>
    <row r="5" spans="1:7" x14ac:dyDescent="0.2">
      <c r="B5" s="60" t="s">
        <v>95</v>
      </c>
      <c r="C5" s="60" t="s">
        <v>96</v>
      </c>
      <c r="D5" s="60" t="s">
        <v>97</v>
      </c>
      <c r="E5" s="60" t="s">
        <v>98</v>
      </c>
      <c r="F5" s="60" t="s">
        <v>99</v>
      </c>
    </row>
    <row r="6" spans="1:7" x14ac:dyDescent="0.2">
      <c r="A6" s="54" t="s">
        <v>101</v>
      </c>
      <c r="B6" s="55">
        <f>+'Bond Principal'!$D11+'Bond Principal'!$K11</f>
        <v>16472460</v>
      </c>
      <c r="C6" s="55">
        <f>+'Bond Principal'!$D12+'Bond Principal'!$K12</f>
        <v>26419178</v>
      </c>
      <c r="D6" s="55">
        <f>+'Bond Principal'!$D13+'Bond Principal'!$K13</f>
        <v>27805000</v>
      </c>
      <c r="E6" s="55">
        <f>+'Bond Principal'!$D14+'Bond Principal'!$K14</f>
        <v>26915000</v>
      </c>
      <c r="F6" s="55">
        <f>+'Bond Principal'!$D15+'Bond Principal'!$K15</f>
        <v>26000000</v>
      </c>
    </row>
    <row r="7" spans="1:7" x14ac:dyDescent="0.2">
      <c r="B7" s="55"/>
      <c r="C7" s="55"/>
      <c r="D7" s="55"/>
      <c r="E7" s="55"/>
      <c r="F7" s="55"/>
    </row>
    <row r="8" spans="1:7" x14ac:dyDescent="0.2">
      <c r="A8" s="61" t="s">
        <v>102</v>
      </c>
      <c r="B8" s="62">
        <f>+B6*0.0425</f>
        <v>700079.55</v>
      </c>
      <c r="C8" s="62">
        <f t="shared" ref="C8:F8" si="0">+C6*0.0425</f>
        <v>1122815.0650000002</v>
      </c>
      <c r="D8" s="62">
        <f t="shared" si="0"/>
        <v>1181712.5</v>
      </c>
      <c r="E8" s="62">
        <f t="shared" si="0"/>
        <v>1143887.5</v>
      </c>
      <c r="F8" s="62">
        <f t="shared" si="0"/>
        <v>1105000</v>
      </c>
      <c r="G8" s="169"/>
    </row>
    <row r="9" spans="1:7" x14ac:dyDescent="0.2">
      <c r="A9" s="61"/>
      <c r="B9" s="62"/>
      <c r="C9" s="62"/>
      <c r="D9" s="62"/>
      <c r="E9" s="62"/>
      <c r="F9" s="62"/>
    </row>
    <row r="10" spans="1:7" x14ac:dyDescent="0.2">
      <c r="A10" s="61" t="s">
        <v>196</v>
      </c>
      <c r="B10" s="62">
        <v>14000</v>
      </c>
      <c r="C10" s="62">
        <v>14000</v>
      </c>
      <c r="D10" s="62">
        <v>14000</v>
      </c>
      <c r="E10" s="62">
        <v>14000</v>
      </c>
      <c r="F10" s="62">
        <v>14000</v>
      </c>
    </row>
    <row r="11" spans="1:7" x14ac:dyDescent="0.2">
      <c r="A11" s="61"/>
      <c r="B11" s="62"/>
      <c r="C11" s="62"/>
      <c r="D11" s="62"/>
      <c r="E11" s="62"/>
      <c r="F11" s="62"/>
    </row>
    <row r="12" spans="1:7" ht="15" x14ac:dyDescent="0.25">
      <c r="B12" s="63">
        <f>SUM(B8:B10)</f>
        <v>714079.55</v>
      </c>
      <c r="C12" s="63">
        <f>SUM(C8:C10)</f>
        <v>1136815.0650000002</v>
      </c>
      <c r="D12" s="63">
        <f>SUM(D8:D10)</f>
        <v>1195712.5</v>
      </c>
      <c r="E12" s="63">
        <f>SUM(E8:E10)</f>
        <v>1157887.5</v>
      </c>
      <c r="F12" s="63">
        <f>SUM(F8:F10)</f>
        <v>1119000</v>
      </c>
    </row>
    <row r="20" spans="2:2" x14ac:dyDescent="0.2">
      <c r="B20" s="64"/>
    </row>
    <row r="21" spans="2:2" x14ac:dyDescent="0.2">
      <c r="B21" s="64"/>
    </row>
    <row r="22" spans="2:2" x14ac:dyDescent="0.2">
      <c r="B22" s="64"/>
    </row>
    <row r="23" spans="2:2" x14ac:dyDescent="0.2">
      <c r="B23" s="64"/>
    </row>
    <row r="24" spans="2:2" x14ac:dyDescent="0.2">
      <c r="B24" s="64"/>
    </row>
    <row r="25" spans="2:2" x14ac:dyDescent="0.2">
      <c r="B25" s="64"/>
    </row>
    <row r="26" spans="2:2" x14ac:dyDescent="0.2">
      <c r="B26" s="64"/>
    </row>
  </sheetData>
  <phoneticPr fontId="8" type="noConversion"/>
  <printOptions gridLines="1"/>
  <pageMargins left="0.75" right="0.75" top="1" bottom="1" header="0.5" footer="0.5"/>
  <pageSetup scale="85" orientation="landscape"/>
  <headerFooter alignWithMargins="0">
    <oddFooter>&amp;L&amp;Z&amp;F&amp;F&amp;A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5"/>
  <sheetViews>
    <sheetView topLeftCell="A34" workbookViewId="0">
      <selection activeCell="H62" sqref="H62"/>
    </sheetView>
  </sheetViews>
  <sheetFormatPr defaultColWidth="13.42578125" defaultRowHeight="15" x14ac:dyDescent="0.25"/>
  <cols>
    <col min="1" max="16384" width="13.42578125" style="1"/>
  </cols>
  <sheetData>
    <row r="1" spans="1:5" x14ac:dyDescent="0.25">
      <c r="A1" s="78" t="s">
        <v>235</v>
      </c>
      <c r="B1" s="78"/>
      <c r="C1" s="78"/>
      <c r="D1" s="78"/>
    </row>
    <row r="2" spans="1:5" x14ac:dyDescent="0.25">
      <c r="A2" s="78" t="s">
        <v>242</v>
      </c>
      <c r="B2" s="78"/>
      <c r="C2" s="78"/>
      <c r="D2" s="78"/>
    </row>
    <row r="5" spans="1:5" x14ac:dyDescent="0.25">
      <c r="A5" s="79"/>
      <c r="B5" s="80" t="s">
        <v>237</v>
      </c>
      <c r="C5" s="81"/>
      <c r="D5" s="82" t="s">
        <v>238</v>
      </c>
      <c r="E5" s="58"/>
    </row>
    <row r="6" spans="1:5" x14ac:dyDescent="0.25">
      <c r="A6" s="83"/>
      <c r="B6" s="84" t="s">
        <v>239</v>
      </c>
      <c r="C6" s="84" t="s">
        <v>236</v>
      </c>
      <c r="D6" s="85" t="s">
        <v>239</v>
      </c>
      <c r="E6" s="58"/>
    </row>
    <row r="7" spans="1:5" x14ac:dyDescent="0.25">
      <c r="A7" s="86">
        <v>1973</v>
      </c>
      <c r="B7" s="87">
        <v>160663.50140319564</v>
      </c>
      <c r="C7" s="88">
        <v>7872.5115687565867</v>
      </c>
      <c r="D7" s="87">
        <v>168536.01297195224</v>
      </c>
      <c r="E7" s="58"/>
    </row>
    <row r="8" spans="1:5" x14ac:dyDescent="0.25">
      <c r="A8" s="89">
        <v>1974</v>
      </c>
      <c r="B8" s="90">
        <v>168536.01297195224</v>
      </c>
      <c r="C8" s="91">
        <v>8258.2646356256591</v>
      </c>
      <c r="D8" s="90">
        <v>176794.27760757791</v>
      </c>
      <c r="E8" s="58"/>
    </row>
    <row r="9" spans="1:5" x14ac:dyDescent="0.25">
      <c r="A9" s="89">
        <v>1975</v>
      </c>
      <c r="B9" s="90">
        <v>176794.27760757791</v>
      </c>
      <c r="C9" s="91">
        <v>8662.9196027713188</v>
      </c>
      <c r="D9" s="90">
        <v>185457.19721034923</v>
      </c>
      <c r="E9" s="58"/>
    </row>
    <row r="10" spans="1:5" x14ac:dyDescent="0.25">
      <c r="A10" s="89">
        <v>1976</v>
      </c>
      <c r="B10" s="90">
        <v>185457.19721034923</v>
      </c>
      <c r="C10" s="91">
        <v>9087.4026633071135</v>
      </c>
      <c r="D10" s="90">
        <v>194544.59987365635</v>
      </c>
      <c r="E10" s="58"/>
    </row>
    <row r="11" spans="1:5" x14ac:dyDescent="0.25">
      <c r="A11" s="89">
        <v>1977</v>
      </c>
      <c r="B11" s="90">
        <v>194544.59987365635</v>
      </c>
      <c r="C11" s="91">
        <v>9532.6853938091608</v>
      </c>
      <c r="D11" s="90">
        <v>204077.28526746552</v>
      </c>
      <c r="E11" s="58"/>
    </row>
    <row r="12" spans="1:5" x14ac:dyDescent="0.25">
      <c r="A12" s="89">
        <v>1978</v>
      </c>
      <c r="B12" s="90">
        <v>204077.28526746552</v>
      </c>
      <c r="C12" s="91">
        <v>9999.7869781058107</v>
      </c>
      <c r="D12" s="90">
        <v>214077.07224557133</v>
      </c>
      <c r="E12" s="58"/>
    </row>
    <row r="13" spans="1:5" x14ac:dyDescent="0.25">
      <c r="A13" s="89">
        <v>1979</v>
      </c>
      <c r="B13" s="90">
        <v>214077.07224557133</v>
      </c>
      <c r="C13" s="91">
        <v>10489.776540032995</v>
      </c>
      <c r="D13" s="90">
        <v>224566.84878560432</v>
      </c>
      <c r="E13" s="58"/>
    </row>
    <row r="14" spans="1:5" x14ac:dyDescent="0.25">
      <c r="A14" s="89">
        <v>1980</v>
      </c>
      <c r="B14" s="90">
        <v>224566.84878560432</v>
      </c>
      <c r="C14" s="91">
        <v>11003.775590494612</v>
      </c>
      <c r="D14" s="90">
        <v>235570.62437609895</v>
      </c>
      <c r="E14" s="58"/>
    </row>
    <row r="15" spans="1:5" x14ac:dyDescent="0.25">
      <c r="A15" s="89">
        <v>1981</v>
      </c>
      <c r="B15" s="90">
        <v>235570.62437609895</v>
      </c>
      <c r="C15" s="91">
        <v>11542.960594428849</v>
      </c>
      <c r="D15" s="90">
        <v>247113.58497052779</v>
      </c>
      <c r="E15" s="58"/>
    </row>
    <row r="16" spans="1:5" x14ac:dyDescent="0.25">
      <c r="A16" s="89">
        <v>1982</v>
      </c>
      <c r="B16" s="90">
        <v>247113.58497052779</v>
      </c>
      <c r="C16" s="91">
        <v>12108.565663555863</v>
      </c>
      <c r="D16" s="90">
        <v>259222.15063408366</v>
      </c>
      <c r="E16" s="58"/>
    </row>
    <row r="17" spans="1:5" x14ac:dyDescent="0.25">
      <c r="A17" s="89">
        <v>1983</v>
      </c>
      <c r="B17" s="90">
        <v>259222.15063408366</v>
      </c>
      <c r="C17" s="91">
        <v>12701.8853810701</v>
      </c>
      <c r="D17" s="90">
        <v>271924.03601515375</v>
      </c>
      <c r="E17" s="58"/>
    </row>
    <row r="18" spans="1:5" x14ac:dyDescent="0.25">
      <c r="A18" s="89">
        <v>1984</v>
      </c>
      <c r="B18" s="90">
        <v>271924.03601515375</v>
      </c>
      <c r="C18" s="91">
        <v>13324.277764742534</v>
      </c>
      <c r="D18" s="90">
        <v>285248.3137798963</v>
      </c>
      <c r="E18" s="58"/>
    </row>
    <row r="19" spans="1:5" x14ac:dyDescent="0.25">
      <c r="A19" s="89">
        <v>1985</v>
      </c>
      <c r="B19" s="90">
        <v>285248.3137798963</v>
      </c>
      <c r="C19" s="91">
        <v>13977.16737521492</v>
      </c>
      <c r="D19" s="90">
        <v>299225.48115511122</v>
      </c>
      <c r="E19" s="58"/>
    </row>
    <row r="20" spans="1:5" x14ac:dyDescent="0.25">
      <c r="A20" s="89">
        <v>1986</v>
      </c>
      <c r="B20" s="90">
        <v>299225.48115511122</v>
      </c>
      <c r="C20" s="91">
        <v>14662.048576600451</v>
      </c>
      <c r="D20" s="90">
        <v>313887.52973171166</v>
      </c>
      <c r="E20" s="58"/>
    </row>
    <row r="21" spans="1:5" x14ac:dyDescent="0.25">
      <c r="A21" s="89">
        <v>1987</v>
      </c>
      <c r="B21" s="90">
        <v>313887.52973171166</v>
      </c>
      <c r="C21" s="91">
        <v>15380.488956853873</v>
      </c>
      <c r="D21" s="90">
        <v>329268.01868856553</v>
      </c>
      <c r="E21" s="58"/>
    </row>
    <row r="22" spans="1:5" x14ac:dyDescent="0.25">
      <c r="A22" s="89">
        <v>1988</v>
      </c>
      <c r="B22" s="90">
        <v>329268.01868856553</v>
      </c>
      <c r="C22" s="91">
        <v>16134.132915739712</v>
      </c>
      <c r="D22" s="90">
        <v>345402.15160430525</v>
      </c>
      <c r="E22" s="58"/>
    </row>
    <row r="23" spans="1:5" x14ac:dyDescent="0.25">
      <c r="A23" s="89">
        <v>1989</v>
      </c>
      <c r="B23" s="90">
        <v>345402.15160430525</v>
      </c>
      <c r="C23" s="91">
        <v>16924.70542861096</v>
      </c>
      <c r="D23" s="90">
        <v>362326.85703291622</v>
      </c>
      <c r="E23" s="58"/>
    </row>
    <row r="24" spans="1:5" x14ac:dyDescent="0.25">
      <c r="A24" s="89">
        <v>1990</v>
      </c>
      <c r="B24" s="90">
        <v>362326.85703291622</v>
      </c>
      <c r="C24" s="91">
        <v>17754.015994612895</v>
      </c>
      <c r="D24" s="90">
        <v>380080.8730275291</v>
      </c>
      <c r="E24" s="58"/>
    </row>
    <row r="25" spans="1:5" x14ac:dyDescent="0.25">
      <c r="A25" s="89">
        <v>1991</v>
      </c>
      <c r="B25" s="90">
        <v>380080.8730275291</v>
      </c>
      <c r="C25" s="91">
        <v>18623.962778348927</v>
      </c>
      <c r="D25" s="90">
        <v>398704.83580587804</v>
      </c>
      <c r="E25" s="58"/>
    </row>
    <row r="26" spans="1:5" x14ac:dyDescent="0.25">
      <c r="A26" s="89">
        <v>1992</v>
      </c>
      <c r="B26" s="90">
        <v>398704.83580587804</v>
      </c>
      <c r="C26" s="91">
        <v>19536.536954488023</v>
      </c>
      <c r="D26" s="90">
        <v>418241.37276036607</v>
      </c>
      <c r="E26" s="58"/>
    </row>
    <row r="27" spans="1:5" x14ac:dyDescent="0.25">
      <c r="A27" s="89">
        <v>1993</v>
      </c>
      <c r="B27" s="90">
        <v>418241.37276036607</v>
      </c>
      <c r="C27" s="91">
        <v>20493.827265257936</v>
      </c>
      <c r="D27" s="90">
        <v>438735.20002562401</v>
      </c>
      <c r="E27" s="58"/>
    </row>
    <row r="28" spans="1:5" x14ac:dyDescent="0.25">
      <c r="A28" s="89">
        <v>1994</v>
      </c>
      <c r="B28" s="90">
        <v>438735.20002562401</v>
      </c>
      <c r="C28" s="91">
        <v>21498.024801255578</v>
      </c>
      <c r="D28" s="90">
        <v>460233.22482687957</v>
      </c>
      <c r="E28" s="58"/>
    </row>
    <row r="29" spans="1:5" x14ac:dyDescent="0.25">
      <c r="A29" s="89">
        <v>1995</v>
      </c>
      <c r="B29" s="90">
        <v>460233.22482687957</v>
      </c>
      <c r="C29" s="91">
        <v>22551.4280165171</v>
      </c>
      <c r="D29" s="90">
        <v>482784.65284339665</v>
      </c>
      <c r="E29" s="58"/>
    </row>
    <row r="30" spans="1:5" x14ac:dyDescent="0.25">
      <c r="A30" s="89">
        <v>1996</v>
      </c>
      <c r="B30" s="90">
        <v>482784.65284339665</v>
      </c>
      <c r="C30" s="91">
        <v>23656.447989326436</v>
      </c>
      <c r="D30" s="90">
        <v>506441.10083272308</v>
      </c>
      <c r="E30" s="58"/>
    </row>
    <row r="31" spans="1:5" x14ac:dyDescent="0.25">
      <c r="A31" s="89">
        <v>1997</v>
      </c>
      <c r="B31" s="90">
        <v>506441.10083272308</v>
      </c>
      <c r="C31" s="91">
        <v>24815.613940803432</v>
      </c>
      <c r="D31" s="90">
        <v>531256.71477352653</v>
      </c>
      <c r="E31" s="58"/>
    </row>
    <row r="32" spans="1:5" x14ac:dyDescent="0.25">
      <c r="A32" s="89">
        <v>1998</v>
      </c>
      <c r="B32" s="90">
        <v>531256.71477352653</v>
      </c>
      <c r="C32" s="91">
        <v>26031.579023902799</v>
      </c>
      <c r="D32" s="90">
        <v>557288.2937974293</v>
      </c>
      <c r="E32" s="58"/>
    </row>
    <row r="33" spans="1:5" x14ac:dyDescent="0.25">
      <c r="A33" s="89">
        <v>1999</v>
      </c>
      <c r="B33" s="90">
        <v>557288.2937974293</v>
      </c>
      <c r="C33" s="91">
        <v>27307.126396074036</v>
      </c>
      <c r="D33" s="90">
        <v>584595.42019350338</v>
      </c>
      <c r="E33" s="58"/>
    </row>
    <row r="34" spans="1:5" x14ac:dyDescent="0.25">
      <c r="A34" s="89">
        <v>2000</v>
      </c>
      <c r="B34" s="90">
        <v>584595.42019350338</v>
      </c>
      <c r="C34" s="91">
        <v>28645.175589481667</v>
      </c>
      <c r="D34" s="90">
        <v>613240.5957829851</v>
      </c>
      <c r="E34" s="58"/>
    </row>
    <row r="35" spans="1:5" x14ac:dyDescent="0.25">
      <c r="A35" s="89">
        <v>2001</v>
      </c>
      <c r="B35" s="90">
        <v>613240.5957829851</v>
      </c>
      <c r="C35" s="91">
        <v>30048.789193366272</v>
      </c>
      <c r="D35" s="90">
        <v>643289.3849763514</v>
      </c>
      <c r="E35" s="58"/>
    </row>
    <row r="36" spans="1:5" x14ac:dyDescent="0.25">
      <c r="A36" s="89">
        <v>2002</v>
      </c>
      <c r="B36" s="90">
        <v>643289.3849763514</v>
      </c>
      <c r="C36" s="91">
        <v>31521.179863841218</v>
      </c>
      <c r="D36" s="90">
        <v>674810.56484019267</v>
      </c>
      <c r="E36" s="58"/>
    </row>
    <row r="37" spans="1:5" x14ac:dyDescent="0.25">
      <c r="A37" s="89">
        <v>2003</v>
      </c>
      <c r="B37" s="90">
        <v>674810.56484019267</v>
      </c>
      <c r="C37" s="91">
        <v>33065.717677169443</v>
      </c>
      <c r="D37" s="90">
        <v>707876.28251736215</v>
      </c>
      <c r="E37" s="58"/>
    </row>
    <row r="38" spans="1:5" x14ac:dyDescent="0.25">
      <c r="A38" s="89">
        <v>2004</v>
      </c>
      <c r="B38" s="90">
        <v>707876.28251736215</v>
      </c>
      <c r="C38" s="91">
        <v>34685.937843350745</v>
      </c>
      <c r="D38" s="90">
        <v>742562.22036071285</v>
      </c>
      <c r="E38" s="58"/>
    </row>
    <row r="39" spans="1:5" x14ac:dyDescent="0.25">
      <c r="A39" s="89">
        <v>2005</v>
      </c>
      <c r="B39" s="90">
        <v>742562.22036071285</v>
      </c>
      <c r="C39" s="91">
        <v>36385.548797674928</v>
      </c>
      <c r="D39" s="90">
        <v>778947.76915838779</v>
      </c>
      <c r="E39" s="58"/>
    </row>
    <row r="40" spans="1:5" x14ac:dyDescent="0.25">
      <c r="A40" s="89">
        <v>2006</v>
      </c>
      <c r="B40" s="92">
        <v>778947.76915838779</v>
      </c>
      <c r="C40" s="91">
        <v>38168.440688761002</v>
      </c>
      <c r="D40" s="90">
        <v>817116.20984714874</v>
      </c>
      <c r="E40" s="58"/>
    </row>
    <row r="41" spans="1:5" x14ac:dyDescent="0.25">
      <c r="A41" s="89">
        <v>2007</v>
      </c>
      <c r="B41" s="92">
        <v>817116.20984714874</v>
      </c>
      <c r="C41" s="91">
        <v>40038.694282510289</v>
      </c>
      <c r="D41" s="90">
        <v>857154.90412965906</v>
      </c>
      <c r="E41" s="58"/>
    </row>
    <row r="42" spans="1:5" x14ac:dyDescent="0.25">
      <c r="A42" s="89">
        <v>2008</v>
      </c>
      <c r="B42" s="92">
        <v>857154.90412965906</v>
      </c>
      <c r="C42" s="91">
        <v>42000.590302353296</v>
      </c>
      <c r="D42" s="92">
        <v>899155.49443201232</v>
      </c>
      <c r="E42" s="58"/>
    </row>
    <row r="43" spans="1:5" x14ac:dyDescent="0.25">
      <c r="A43" s="89">
        <v>2009</v>
      </c>
      <c r="B43" s="92">
        <v>899155.49443201232</v>
      </c>
      <c r="C43" s="91">
        <v>44058.619227168609</v>
      </c>
      <c r="D43" s="87">
        <v>943214.11365918093</v>
      </c>
      <c r="E43" s="58"/>
    </row>
    <row r="44" spans="1:5" x14ac:dyDescent="0.25">
      <c r="A44" s="89">
        <v>2010</v>
      </c>
      <c r="B44" s="92">
        <v>943214.11365918093</v>
      </c>
      <c r="C44" s="91">
        <v>46217.491569299869</v>
      </c>
      <c r="D44" s="93">
        <v>989431.60522848077</v>
      </c>
      <c r="E44" s="58"/>
    </row>
    <row r="45" spans="1:5" x14ac:dyDescent="0.25">
      <c r="A45" s="89">
        <v>2011</v>
      </c>
      <c r="B45" s="90">
        <v>989431.60522848077</v>
      </c>
      <c r="C45" s="91">
        <v>48482.148656195561</v>
      </c>
      <c r="D45" s="90">
        <v>1037913.7538846764</v>
      </c>
      <c r="E45" s="58"/>
    </row>
    <row r="46" spans="1:5" x14ac:dyDescent="0.25">
      <c r="A46" s="89">
        <v>2012</v>
      </c>
      <c r="B46" s="90">
        <v>1037913.7538846764</v>
      </c>
      <c r="C46" s="91">
        <v>50857.773940349143</v>
      </c>
      <c r="D46" s="90">
        <v>1088771.5278250256</v>
      </c>
      <c r="E46" s="58"/>
    </row>
    <row r="47" spans="1:5" x14ac:dyDescent="0.25">
      <c r="A47" s="89">
        <v>2013</v>
      </c>
      <c r="B47" s="90">
        <v>1088771.5278250256</v>
      </c>
      <c r="C47" s="91">
        <v>53349.80486342626</v>
      </c>
      <c r="D47" s="90">
        <v>1142121.332688452</v>
      </c>
      <c r="E47" s="58"/>
    </row>
    <row r="48" spans="1:5" x14ac:dyDescent="0.25">
      <c r="A48" s="89">
        <v>2014</v>
      </c>
      <c r="B48" s="90">
        <v>1142121.332688452</v>
      </c>
      <c r="C48" s="91">
        <v>55963.945301734151</v>
      </c>
      <c r="D48" s="90">
        <v>1198085.2779901861</v>
      </c>
      <c r="E48" s="58"/>
    </row>
    <row r="49" spans="1:5" x14ac:dyDescent="0.25">
      <c r="A49" s="89">
        <v>2015</v>
      </c>
      <c r="B49" s="92">
        <v>1198085.2779901861</v>
      </c>
      <c r="C49" s="230">
        <f>'Expenses by Object'!F123</f>
        <v>55964</v>
      </c>
      <c r="D49" s="92">
        <v>1256791.4566117052</v>
      </c>
      <c r="E49" s="58"/>
    </row>
    <row r="50" spans="1:5" x14ac:dyDescent="0.25">
      <c r="A50" s="89">
        <v>2016</v>
      </c>
      <c r="B50" s="90">
        <v>1256791.4566117052</v>
      </c>
      <c r="C50" s="230">
        <f>'Expenses by Object'!G123</f>
        <v>58706</v>
      </c>
      <c r="D50" s="90">
        <v>1318374.2379856787</v>
      </c>
      <c r="E50" s="58"/>
    </row>
    <row r="51" spans="1:5" x14ac:dyDescent="0.25">
      <c r="A51" s="89">
        <v>2017</v>
      </c>
      <c r="B51" s="90">
        <v>1318374.2379856787</v>
      </c>
      <c r="C51" s="230">
        <f>'Expenses by Object'!H123</f>
        <v>61583</v>
      </c>
      <c r="D51" s="90">
        <v>1382974.5756469769</v>
      </c>
      <c r="E51" s="58"/>
    </row>
    <row r="52" spans="1:5" x14ac:dyDescent="0.25">
      <c r="A52" s="89">
        <v>2018</v>
      </c>
      <c r="B52" s="90">
        <v>1382974.5756469769</v>
      </c>
      <c r="C52" s="230">
        <f>'Expenses by Object'!I123</f>
        <v>64600</v>
      </c>
      <c r="D52" s="90">
        <v>1450740.3298536788</v>
      </c>
      <c r="E52" s="58"/>
    </row>
    <row r="53" spans="1:5" x14ac:dyDescent="0.25">
      <c r="A53" s="89">
        <v>2019</v>
      </c>
      <c r="B53" s="90">
        <v>1450740.3298536788</v>
      </c>
      <c r="C53" s="230">
        <f>'Expenses by Object'!J123</f>
        <v>67766</v>
      </c>
      <c r="D53" s="90">
        <v>1521826.606016509</v>
      </c>
      <c r="E53" s="58"/>
    </row>
    <row r="54" spans="1:5" x14ac:dyDescent="0.25">
      <c r="A54" s="89">
        <v>2020</v>
      </c>
      <c r="B54" s="90">
        <v>1521826.606016509</v>
      </c>
      <c r="C54" s="91">
        <v>74569.50369480894</v>
      </c>
      <c r="D54" s="90">
        <v>1596396.109711318</v>
      </c>
      <c r="E54" s="58"/>
    </row>
    <row r="55" spans="1:5" x14ac:dyDescent="0.25">
      <c r="A55" s="89">
        <v>2021</v>
      </c>
      <c r="B55" s="90">
        <v>1596396.109711318</v>
      </c>
      <c r="C55" s="91">
        <v>78223.409375854593</v>
      </c>
      <c r="D55" s="90">
        <v>1674619.5190871726</v>
      </c>
      <c r="E55" s="58"/>
    </row>
    <row r="56" spans="1:5" x14ac:dyDescent="0.25">
      <c r="A56" s="89">
        <v>2022</v>
      </c>
      <c r="B56" s="90">
        <v>1674619.5190871726</v>
      </c>
      <c r="C56" s="91">
        <v>82056.35643527146</v>
      </c>
      <c r="D56" s="90">
        <v>1756675.875522444</v>
      </c>
      <c r="E56" s="58"/>
    </row>
    <row r="57" spans="1:5" x14ac:dyDescent="0.25">
      <c r="A57" s="89">
        <v>2023</v>
      </c>
      <c r="B57" s="90">
        <v>1756675.875522444</v>
      </c>
      <c r="C57" s="91">
        <v>86077.117900599755</v>
      </c>
      <c r="D57" s="90">
        <v>1842752.9934230438</v>
      </c>
      <c r="E57" s="58"/>
    </row>
    <row r="58" spans="1:5" x14ac:dyDescent="0.25">
      <c r="A58" s="89">
        <v>2024</v>
      </c>
      <c r="B58" s="90">
        <v>1842752.9934230438</v>
      </c>
      <c r="C58" s="91">
        <v>90294.89667772915</v>
      </c>
      <c r="D58" s="90">
        <v>1933047.890100773</v>
      </c>
      <c r="E58" s="58"/>
    </row>
    <row r="59" spans="1:5" x14ac:dyDescent="0.25">
      <c r="A59" s="89">
        <v>2025</v>
      </c>
      <c r="B59" s="90">
        <v>1933047.890100773</v>
      </c>
      <c r="C59" s="91">
        <v>94719.34661493788</v>
      </c>
      <c r="D59" s="90">
        <v>2027767.2367157107</v>
      </c>
      <c r="E59" s="58"/>
    </row>
    <row r="60" spans="1:5" x14ac:dyDescent="0.25">
      <c r="A60" s="89">
        <v>2026</v>
      </c>
      <c r="B60" s="90">
        <v>2027767.2367157107</v>
      </c>
      <c r="C60" s="91">
        <v>99360.594599069824</v>
      </c>
      <c r="D60" s="90">
        <v>2127127.8313147807</v>
      </c>
      <c r="E60" s="58"/>
    </row>
    <row r="61" spans="1:5" x14ac:dyDescent="0.25">
      <c r="A61" s="89">
        <v>2027</v>
      </c>
      <c r="B61" s="90">
        <v>2127127.8313147807</v>
      </c>
      <c r="C61" s="91">
        <v>104229.26373442425</v>
      </c>
      <c r="D61" s="90">
        <v>2231357.0950492052</v>
      </c>
      <c r="E61" s="58"/>
    </row>
    <row r="62" spans="1:5" x14ac:dyDescent="0.25">
      <c r="A62" s="89">
        <v>2028</v>
      </c>
      <c r="B62" s="90">
        <v>2231357.0950492052</v>
      </c>
      <c r="C62" s="91">
        <v>109336.49765741106</v>
      </c>
      <c r="D62" s="90">
        <v>2340693.5927066165</v>
      </c>
      <c r="E62" s="58"/>
    </row>
    <row r="63" spans="1:5" x14ac:dyDescent="0.25">
      <c r="A63" s="89">
        <v>2029</v>
      </c>
      <c r="B63" s="90">
        <v>2340693.5927066165</v>
      </c>
      <c r="C63" s="91">
        <v>114693.98604262421</v>
      </c>
      <c r="D63" s="90">
        <v>2455387.5787492408</v>
      </c>
      <c r="E63" s="58"/>
    </row>
    <row r="64" spans="1:5" x14ac:dyDescent="0.25">
      <c r="A64" s="89">
        <v>2030</v>
      </c>
      <c r="B64" s="90">
        <v>2455387.5787492408</v>
      </c>
      <c r="C64" s="91">
        <v>120313.99135871281</v>
      </c>
      <c r="D64" s="90">
        <v>2575701.5701079536</v>
      </c>
      <c r="E64" s="58"/>
    </row>
    <row r="65" spans="1:5" x14ac:dyDescent="0.25">
      <c r="A65" s="89">
        <v>2031</v>
      </c>
      <c r="B65" s="90">
        <v>2575701.5701079536</v>
      </c>
      <c r="C65" s="91">
        <v>126209.37693528974</v>
      </c>
      <c r="D65" s="90">
        <v>2701910.9470432433</v>
      </c>
      <c r="E65" s="58"/>
    </row>
    <row r="66" spans="1:5" x14ac:dyDescent="0.25">
      <c r="A66" s="89">
        <v>2032</v>
      </c>
      <c r="B66" s="90">
        <v>2701910.9470432433</v>
      </c>
      <c r="C66" s="91">
        <v>132393.63640511892</v>
      </c>
      <c r="D66" s="90">
        <v>2834304.5834483621</v>
      </c>
      <c r="E66" s="58"/>
    </row>
    <row r="67" spans="1:5" x14ac:dyDescent="0.25">
      <c r="A67" s="89">
        <v>2033</v>
      </c>
      <c r="B67" s="90">
        <v>2834304.5834483621</v>
      </c>
      <c r="C67" s="91">
        <v>138880.92458896973</v>
      </c>
      <c r="D67" s="90">
        <v>2973185.508037332</v>
      </c>
      <c r="E67" s="58"/>
    </row>
    <row r="68" spans="1:5" x14ac:dyDescent="0.25">
      <c r="A68" s="89">
        <v>2034</v>
      </c>
      <c r="B68" s="90">
        <v>2973185.508037332</v>
      </c>
      <c r="C68" s="91">
        <v>145686.08989382928</v>
      </c>
      <c r="D68" s="90">
        <v>3118871.5979311611</v>
      </c>
      <c r="E68" s="58"/>
    </row>
    <row r="69" spans="1:5" x14ac:dyDescent="0.25">
      <c r="A69" s="89">
        <v>2035</v>
      </c>
      <c r="B69" s="90">
        <v>3118871.5979311611</v>
      </c>
      <c r="C69" s="91">
        <v>152824.70829862691</v>
      </c>
      <c r="D69" s="90">
        <v>3271696.3062297879</v>
      </c>
      <c r="E69" s="58"/>
    </row>
    <row r="70" spans="1:5" x14ac:dyDescent="0.25">
      <c r="A70" s="89">
        <v>2036</v>
      </c>
      <c r="B70" s="90">
        <v>3271696.3062297879</v>
      </c>
      <c r="C70" s="91">
        <v>160313.11900525962</v>
      </c>
      <c r="D70" s="90">
        <v>3432009.4252350475</v>
      </c>
      <c r="E70" s="58"/>
    </row>
    <row r="71" spans="1:5" x14ac:dyDescent="0.25">
      <c r="A71" s="89">
        <v>2037</v>
      </c>
      <c r="B71" s="90">
        <v>3432009.4252350475</v>
      </c>
      <c r="C71" s="91">
        <v>168168.46183651732</v>
      </c>
      <c r="D71" s="90">
        <v>3600177.8870715648</v>
      </c>
      <c r="E71" s="58"/>
    </row>
    <row r="72" spans="1:5" x14ac:dyDescent="0.25">
      <c r="A72" s="89">
        <v>2038</v>
      </c>
      <c r="B72" s="90">
        <v>3600177.8870715648</v>
      </c>
      <c r="C72" s="91">
        <v>176408.71646650668</v>
      </c>
      <c r="D72" s="90">
        <v>3776586.6035380713</v>
      </c>
      <c r="E72" s="58"/>
    </row>
    <row r="73" spans="1:5" x14ac:dyDescent="0.25">
      <c r="A73" s="89">
        <v>2039</v>
      </c>
      <c r="B73" s="90">
        <v>3776586.6035380713</v>
      </c>
      <c r="C73" s="91">
        <v>185052.7435733655</v>
      </c>
      <c r="D73" s="90">
        <v>3961639.3471114365</v>
      </c>
      <c r="E73" s="58"/>
    </row>
    <row r="74" spans="1:5" x14ac:dyDescent="0.25">
      <c r="A74" s="89">
        <v>2040</v>
      </c>
      <c r="B74" s="90">
        <v>3961639.3471114365</v>
      </c>
      <c r="C74" s="91"/>
      <c r="D74" s="90"/>
      <c r="E74" s="58"/>
    </row>
    <row r="75" spans="1:5" x14ac:dyDescent="0.25">
      <c r="A75" s="94"/>
      <c r="B75" s="58"/>
      <c r="C75" s="58"/>
      <c r="D75" s="58"/>
      <c r="E75" s="5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J16"/>
  <sheetViews>
    <sheetView workbookViewId="0">
      <selection activeCell="F5" sqref="F5"/>
    </sheetView>
  </sheetViews>
  <sheetFormatPr defaultColWidth="8.85546875" defaultRowHeight="15" x14ac:dyDescent="0.25"/>
  <cols>
    <col min="1" max="1" width="26.5703125" style="56" bestFit="1" customWidth="1"/>
    <col min="2" max="2" width="19" style="56" bestFit="1" customWidth="1"/>
    <col min="3" max="3" width="3" style="57" bestFit="1" customWidth="1"/>
    <col min="4" max="4" width="17" style="56" bestFit="1" customWidth="1"/>
    <col min="5" max="6" width="11.42578125" style="56" bestFit="1" customWidth="1"/>
    <col min="7" max="10" width="12.85546875" style="56" bestFit="1" customWidth="1"/>
    <col min="11" max="12" width="8.85546875" style="56"/>
    <col min="13" max="13" width="10.7109375" style="56" bestFit="1" customWidth="1"/>
    <col min="14" max="16384" width="8.85546875" style="56"/>
  </cols>
  <sheetData>
    <row r="3" spans="1:10" x14ac:dyDescent="0.25">
      <c r="E3" s="221">
        <v>2015</v>
      </c>
      <c r="F3" s="221">
        <v>2016</v>
      </c>
      <c r="G3" s="221">
        <v>2017</v>
      </c>
      <c r="H3" s="221">
        <v>2018</v>
      </c>
      <c r="I3" s="221">
        <v>2019</v>
      </c>
      <c r="J3" s="221">
        <v>2020</v>
      </c>
    </row>
    <row r="5" spans="1:10" x14ac:dyDescent="0.25">
      <c r="A5" s="223" t="s">
        <v>0</v>
      </c>
      <c r="B5" s="224" t="s">
        <v>191</v>
      </c>
      <c r="C5" s="225">
        <v>50</v>
      </c>
      <c r="D5" s="226"/>
      <c r="E5" s="197">
        <v>403939.84020000004</v>
      </c>
      <c r="F5" s="197">
        <f>E5</f>
        <v>403939.84020000004</v>
      </c>
      <c r="G5" s="197">
        <f>$F$5+700000</f>
        <v>1103939.8402</v>
      </c>
      <c r="H5" s="197">
        <f t="shared" ref="H5:J5" si="0">$F$5+700000</f>
        <v>1103939.8402</v>
      </c>
      <c r="I5" s="197">
        <f t="shared" si="0"/>
        <v>1103939.8402</v>
      </c>
      <c r="J5" s="197">
        <f t="shared" si="0"/>
        <v>1103939.8402</v>
      </c>
    </row>
    <row r="6" spans="1:10" x14ac:dyDescent="0.25">
      <c r="A6" s="223" t="s">
        <v>189</v>
      </c>
      <c r="B6" s="224" t="s">
        <v>190</v>
      </c>
      <c r="C6" s="225">
        <v>50</v>
      </c>
      <c r="D6" s="226"/>
      <c r="E6" s="197">
        <v>27233.933199999999</v>
      </c>
      <c r="F6" s="197">
        <f t="shared" ref="F6:J10" si="1">E6</f>
        <v>27233.933199999999</v>
      </c>
      <c r="G6" s="197">
        <f t="shared" si="1"/>
        <v>27233.933199999999</v>
      </c>
      <c r="H6" s="197">
        <f t="shared" si="1"/>
        <v>27233.933199999999</v>
      </c>
      <c r="I6" s="197">
        <f t="shared" si="1"/>
        <v>27233.933199999999</v>
      </c>
      <c r="J6" s="197">
        <f t="shared" si="1"/>
        <v>27233.933199999999</v>
      </c>
    </row>
    <row r="7" spans="1:10" ht="45" x14ac:dyDescent="0.25">
      <c r="A7" s="223" t="s">
        <v>213</v>
      </c>
      <c r="B7" s="224" t="s">
        <v>219</v>
      </c>
      <c r="C7" s="225">
        <v>10</v>
      </c>
      <c r="D7" s="227" t="s">
        <v>243</v>
      </c>
      <c r="E7" s="197">
        <v>203407.89800000007</v>
      </c>
      <c r="F7" s="197">
        <f t="shared" si="1"/>
        <v>203407.89800000007</v>
      </c>
      <c r="G7" s="197">
        <f t="shared" ref="G7:J7" si="2">F7</f>
        <v>203407.89800000007</v>
      </c>
      <c r="H7" s="197">
        <f t="shared" si="2"/>
        <v>203407.89800000007</v>
      </c>
      <c r="I7" s="197">
        <f t="shared" si="2"/>
        <v>203407.89800000007</v>
      </c>
      <c r="J7" s="197">
        <f t="shared" si="2"/>
        <v>203407.89800000007</v>
      </c>
    </row>
    <row r="8" spans="1:10" x14ac:dyDescent="0.25">
      <c r="A8" s="223" t="s">
        <v>214</v>
      </c>
      <c r="B8" s="224" t="s">
        <v>220</v>
      </c>
      <c r="C8" s="225">
        <v>10</v>
      </c>
      <c r="D8" s="226"/>
      <c r="E8" s="197">
        <v>24242.254000000001</v>
      </c>
      <c r="F8" s="197">
        <f t="shared" si="1"/>
        <v>24242.254000000001</v>
      </c>
      <c r="G8" s="197">
        <f t="shared" ref="G8:J8" si="3">F8</f>
        <v>24242.254000000001</v>
      </c>
      <c r="H8" s="197">
        <f t="shared" si="3"/>
        <v>24242.254000000001</v>
      </c>
      <c r="I8" s="197">
        <f t="shared" si="3"/>
        <v>24242.254000000001</v>
      </c>
      <c r="J8" s="197">
        <f t="shared" si="3"/>
        <v>24242.254000000001</v>
      </c>
    </row>
    <row r="9" spans="1:10" x14ac:dyDescent="0.25">
      <c r="A9" s="223" t="s">
        <v>275</v>
      </c>
      <c r="B9" s="224"/>
      <c r="C9" s="225">
        <v>20</v>
      </c>
      <c r="D9" s="226"/>
      <c r="E9" s="197">
        <v>50000</v>
      </c>
      <c r="F9" s="197">
        <f t="shared" si="1"/>
        <v>50000</v>
      </c>
      <c r="G9" s="197">
        <f t="shared" ref="G9:J9" si="4">F9</f>
        <v>50000</v>
      </c>
      <c r="H9" s="197">
        <f t="shared" si="4"/>
        <v>50000</v>
      </c>
      <c r="I9" s="197">
        <f t="shared" si="4"/>
        <v>50000</v>
      </c>
      <c r="J9" s="197">
        <f t="shared" si="4"/>
        <v>50000</v>
      </c>
    </row>
    <row r="10" spans="1:10" x14ac:dyDescent="0.25">
      <c r="A10" s="223" t="s">
        <v>1</v>
      </c>
      <c r="B10" s="224" t="s">
        <v>192</v>
      </c>
      <c r="C10" s="225">
        <v>5</v>
      </c>
      <c r="D10" s="226"/>
      <c r="E10" s="197">
        <v>198809.19899999994</v>
      </c>
      <c r="F10" s="197">
        <f t="shared" si="1"/>
        <v>198809.19899999994</v>
      </c>
      <c r="G10" s="197">
        <f t="shared" ref="G10:J10" si="5">F10</f>
        <v>198809.19899999994</v>
      </c>
      <c r="H10" s="197">
        <f t="shared" si="5"/>
        <v>198809.19899999994</v>
      </c>
      <c r="I10" s="197">
        <f t="shared" si="5"/>
        <v>198809.19899999994</v>
      </c>
      <c r="J10" s="197">
        <f t="shared" si="5"/>
        <v>198809.19899999994</v>
      </c>
    </row>
    <row r="11" spans="1:10" x14ac:dyDescent="0.25">
      <c r="A11" s="223" t="s">
        <v>2</v>
      </c>
      <c r="B11" s="224" t="s">
        <v>193</v>
      </c>
      <c r="C11" s="225">
        <v>5</v>
      </c>
      <c r="D11" s="226"/>
      <c r="E11" s="197">
        <v>23254.071999999996</v>
      </c>
      <c r="F11" s="197">
        <f>E11+500</f>
        <v>23754.071999999996</v>
      </c>
      <c r="G11" s="197">
        <f t="shared" ref="G11:J11" si="6">F11+500</f>
        <v>24254.071999999996</v>
      </c>
      <c r="H11" s="197">
        <f t="shared" si="6"/>
        <v>24754.071999999996</v>
      </c>
      <c r="I11" s="197">
        <f t="shared" si="6"/>
        <v>25254.071999999996</v>
      </c>
      <c r="J11" s="197">
        <f t="shared" si="6"/>
        <v>25754.071999999996</v>
      </c>
    </row>
    <row r="12" spans="1:10" x14ac:dyDescent="0.25">
      <c r="A12" s="223" t="s">
        <v>215</v>
      </c>
      <c r="B12" s="224" t="s">
        <v>221</v>
      </c>
      <c r="C12" s="225">
        <v>5</v>
      </c>
      <c r="D12" s="226"/>
      <c r="E12" s="197">
        <v>60932.858000000007</v>
      </c>
      <c r="F12" s="197">
        <v>0</v>
      </c>
      <c r="G12" s="197">
        <f>F12</f>
        <v>0</v>
      </c>
      <c r="H12" s="197">
        <f t="shared" ref="H12:J12" si="7">G12</f>
        <v>0</v>
      </c>
      <c r="I12" s="197">
        <f t="shared" si="7"/>
        <v>0</v>
      </c>
      <c r="J12" s="197">
        <f t="shared" si="7"/>
        <v>0</v>
      </c>
    </row>
    <row r="13" spans="1:10" x14ac:dyDescent="0.25">
      <c r="A13" s="223" t="s">
        <v>216</v>
      </c>
      <c r="B13" s="224" t="s">
        <v>222</v>
      </c>
      <c r="C13" s="225">
        <v>5</v>
      </c>
      <c r="D13" s="226"/>
      <c r="E13" s="197">
        <v>0</v>
      </c>
      <c r="F13" s="197">
        <v>0</v>
      </c>
      <c r="G13" s="197">
        <f t="shared" ref="G13:J13" si="8">F13</f>
        <v>0</v>
      </c>
      <c r="H13" s="197">
        <f t="shared" si="8"/>
        <v>0</v>
      </c>
      <c r="I13" s="197">
        <f t="shared" si="8"/>
        <v>0</v>
      </c>
      <c r="J13" s="197">
        <f t="shared" si="8"/>
        <v>0</v>
      </c>
    </row>
    <row r="14" spans="1:10" x14ac:dyDescent="0.25">
      <c r="A14" s="223" t="s">
        <v>217</v>
      </c>
      <c r="B14" s="224" t="s">
        <v>194</v>
      </c>
      <c r="C14" s="225">
        <v>5</v>
      </c>
      <c r="D14" s="226"/>
      <c r="E14" s="228">
        <v>0</v>
      </c>
      <c r="F14" s="229">
        <v>0</v>
      </c>
      <c r="G14" s="229">
        <f t="shared" ref="G14:J14" si="9">F14</f>
        <v>0</v>
      </c>
      <c r="H14" s="229">
        <f t="shared" si="9"/>
        <v>0</v>
      </c>
      <c r="I14" s="229">
        <f t="shared" si="9"/>
        <v>0</v>
      </c>
      <c r="J14" s="229">
        <f t="shared" si="9"/>
        <v>0</v>
      </c>
    </row>
    <row r="15" spans="1:10" x14ac:dyDescent="0.25">
      <c r="A15" s="223"/>
      <c r="B15" s="226"/>
      <c r="C15" s="225"/>
      <c r="D15" s="226"/>
      <c r="E15" s="197"/>
      <c r="F15" s="197"/>
      <c r="G15" s="197"/>
      <c r="H15" s="197"/>
      <c r="I15" s="197"/>
      <c r="J15" s="197"/>
    </row>
    <row r="16" spans="1:10" x14ac:dyDescent="0.25">
      <c r="A16" s="223" t="s">
        <v>218</v>
      </c>
      <c r="B16" s="226"/>
      <c r="C16" s="225"/>
      <c r="D16" s="226"/>
      <c r="E16" s="197">
        <f>SUM(E5:E14)</f>
        <v>991820.05440000002</v>
      </c>
      <c r="F16" s="197">
        <f t="shared" ref="F16:J16" si="10">SUM(F5:F14)</f>
        <v>931387.19640000002</v>
      </c>
      <c r="G16" s="197">
        <f t="shared" si="10"/>
        <v>1631887.1964</v>
      </c>
      <c r="H16" s="197">
        <f t="shared" si="10"/>
        <v>1632387.1964</v>
      </c>
      <c r="I16" s="197">
        <f t="shared" si="10"/>
        <v>1632887.1964</v>
      </c>
      <c r="J16" s="197">
        <f t="shared" si="10"/>
        <v>1633387.1964</v>
      </c>
    </row>
  </sheetData>
  <phoneticPr fontId="8" type="noConversion"/>
  <printOptions gridLines="1"/>
  <pageMargins left="0.75" right="0.75" top="1" bottom="1" header="0.5" footer="0.5"/>
  <pageSetup scale="85" orientation="landscape"/>
  <headerFooter alignWithMargins="0">
    <oddFooter>&amp;L&amp;Z&amp;F&amp;F&amp;A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5"/>
  <sheetViews>
    <sheetView workbookViewId="0">
      <selection activeCell="A12" sqref="A12:XFD12"/>
    </sheetView>
  </sheetViews>
  <sheetFormatPr defaultRowHeight="12.75" x14ac:dyDescent="0.2"/>
  <cols>
    <col min="1" max="1" width="13.85546875" style="173" customWidth="1"/>
    <col min="2" max="2" width="17.85546875" style="173" customWidth="1"/>
    <col min="3" max="3" width="17.140625" style="173" customWidth="1"/>
    <col min="4" max="4" width="20.28515625" style="173" customWidth="1"/>
    <col min="5" max="5" width="6.140625" style="173" customWidth="1"/>
    <col min="6" max="6" width="16.140625" style="173" customWidth="1"/>
    <col min="7" max="7" width="15.140625" style="173" customWidth="1"/>
    <col min="8" max="8" width="16.28515625" style="173" customWidth="1"/>
    <col min="9" max="10" width="14" style="173" bestFit="1" customWidth="1"/>
    <col min="11" max="11" width="20.85546875" style="173" customWidth="1"/>
    <col min="12" max="16384" width="9.140625" style="173"/>
  </cols>
  <sheetData>
    <row r="1" spans="1:13" x14ac:dyDescent="0.2">
      <c r="A1" s="172" t="s">
        <v>310</v>
      </c>
      <c r="K1" s="175"/>
      <c r="L1" s="175"/>
      <c r="M1" s="174"/>
    </row>
    <row r="2" spans="1:13" x14ac:dyDescent="0.2">
      <c r="A2" s="274" t="s">
        <v>418</v>
      </c>
      <c r="B2" s="274"/>
      <c r="C2" s="274"/>
      <c r="D2" s="274"/>
      <c r="E2" s="274"/>
      <c r="F2" s="274"/>
      <c r="H2" s="274" t="s">
        <v>419</v>
      </c>
      <c r="I2" s="274"/>
      <c r="J2" s="274"/>
      <c r="K2" s="274"/>
      <c r="L2" s="274"/>
      <c r="M2" s="274"/>
    </row>
    <row r="3" spans="1:13" x14ac:dyDescent="0.2">
      <c r="A3" s="174" t="s">
        <v>311</v>
      </c>
      <c r="B3" s="174"/>
      <c r="C3" s="157">
        <v>15300000</v>
      </c>
      <c r="D3" s="158" t="s">
        <v>312</v>
      </c>
      <c r="E3" s="157"/>
      <c r="F3" s="174" t="s">
        <v>417</v>
      </c>
      <c r="H3" s="174" t="s">
        <v>311</v>
      </c>
      <c r="I3" s="174"/>
      <c r="J3" s="157">
        <v>15000000</v>
      </c>
      <c r="K3" s="176"/>
      <c r="L3" s="176"/>
      <c r="M3" s="174" t="s">
        <v>316</v>
      </c>
    </row>
    <row r="4" spans="1:13" x14ac:dyDescent="0.2">
      <c r="A4" s="174" t="s">
        <v>313</v>
      </c>
      <c r="B4" s="174"/>
      <c r="C4" s="175">
        <v>41821</v>
      </c>
      <c r="D4" s="175"/>
      <c r="E4" s="175"/>
      <c r="F4" s="174"/>
      <c r="H4" s="174" t="s">
        <v>313</v>
      </c>
      <c r="I4" s="174"/>
      <c r="J4" s="175">
        <v>42552</v>
      </c>
      <c r="K4" s="176"/>
      <c r="L4" s="176"/>
      <c r="M4" s="174"/>
    </row>
    <row r="5" spans="1:13" x14ac:dyDescent="0.2">
      <c r="A5" s="174" t="s">
        <v>314</v>
      </c>
      <c r="B5" s="174"/>
      <c r="C5" s="175">
        <v>48030</v>
      </c>
      <c r="D5" s="175"/>
      <c r="E5" s="175"/>
      <c r="F5" s="174"/>
      <c r="H5" s="174" t="s">
        <v>314</v>
      </c>
      <c r="I5" s="174"/>
      <c r="J5" s="175">
        <v>14062</v>
      </c>
      <c r="K5" s="177"/>
      <c r="L5" s="177"/>
    </row>
    <row r="6" spans="1:13" x14ac:dyDescent="0.2">
      <c r="A6" s="174" t="s">
        <v>315</v>
      </c>
      <c r="B6" s="174"/>
      <c r="C6" s="176">
        <v>7076000502</v>
      </c>
      <c r="D6" s="176"/>
      <c r="E6" s="176"/>
      <c r="F6" s="174" t="s">
        <v>316</v>
      </c>
      <c r="H6" s="174" t="s">
        <v>315</v>
      </c>
      <c r="I6" s="174"/>
      <c r="J6" s="176">
        <v>7076000502</v>
      </c>
      <c r="K6" s="177"/>
      <c r="L6" s="178"/>
      <c r="M6" s="178"/>
    </row>
    <row r="7" spans="1:13" x14ac:dyDescent="0.2">
      <c r="A7" s="174"/>
      <c r="B7" s="174"/>
      <c r="C7" s="176"/>
      <c r="D7" s="176"/>
      <c r="E7" s="176"/>
      <c r="F7" s="174"/>
      <c r="J7" s="177"/>
      <c r="K7" s="177"/>
    </row>
    <row r="8" spans="1:13" x14ac:dyDescent="0.2">
      <c r="C8" s="177"/>
      <c r="D8" s="177"/>
      <c r="E8" s="177"/>
      <c r="J8" s="177"/>
      <c r="K8" s="177"/>
      <c r="L8" s="179"/>
      <c r="M8" s="159"/>
    </row>
    <row r="9" spans="1:13" s="181" customFormat="1" ht="25.5" x14ac:dyDescent="0.2">
      <c r="A9" s="180" t="s">
        <v>317</v>
      </c>
      <c r="B9" s="180"/>
      <c r="C9" s="178" t="s">
        <v>318</v>
      </c>
      <c r="D9" s="178" t="s">
        <v>319</v>
      </c>
      <c r="E9" s="178"/>
      <c r="F9" s="178"/>
      <c r="G9" s="178"/>
      <c r="H9" s="180" t="s">
        <v>317</v>
      </c>
      <c r="I9" s="180"/>
      <c r="J9" s="178" t="s">
        <v>318</v>
      </c>
      <c r="K9" s="178" t="s">
        <v>319</v>
      </c>
      <c r="L9" s="179"/>
      <c r="M9" s="159"/>
    </row>
    <row r="10" spans="1:13" s="181" customFormat="1" x14ac:dyDescent="0.2">
      <c r="A10" s="180"/>
      <c r="B10" s="180"/>
      <c r="C10" s="178"/>
      <c r="D10" s="182"/>
      <c r="E10" s="183"/>
      <c r="F10" s="183" t="s">
        <v>417</v>
      </c>
      <c r="G10" s="178"/>
      <c r="H10" s="180"/>
      <c r="I10" s="180"/>
      <c r="J10" s="178"/>
      <c r="K10" s="178"/>
      <c r="L10" s="179"/>
      <c r="M10" s="159"/>
    </row>
    <row r="11" spans="1:13" x14ac:dyDescent="0.2">
      <c r="A11" s="184">
        <v>41821</v>
      </c>
      <c r="B11" s="184"/>
      <c r="C11" s="159">
        <v>580000</v>
      </c>
      <c r="D11" s="179">
        <f>+C3-C11</f>
        <v>14720000</v>
      </c>
      <c r="G11" s="179"/>
      <c r="H11" s="184">
        <v>41821</v>
      </c>
      <c r="I11" s="184"/>
      <c r="J11" s="159"/>
      <c r="K11" s="179">
        <v>1752460</v>
      </c>
    </row>
    <row r="12" spans="1:13" x14ac:dyDescent="0.2">
      <c r="A12" s="184">
        <v>42186</v>
      </c>
      <c r="B12" s="184"/>
      <c r="C12" s="179">
        <v>680000</v>
      </c>
      <c r="D12" s="179">
        <f>+D11-C12</f>
        <v>14040000</v>
      </c>
      <c r="E12" s="179"/>
      <c r="F12" s="159"/>
      <c r="G12" s="179"/>
      <c r="H12" s="184">
        <v>42186</v>
      </c>
      <c r="I12" s="184"/>
      <c r="J12" s="179"/>
      <c r="K12" s="179">
        <v>12379178</v>
      </c>
      <c r="L12" s="160"/>
      <c r="M12" s="160"/>
    </row>
    <row r="13" spans="1:13" x14ac:dyDescent="0.2">
      <c r="A13" s="184">
        <v>42552</v>
      </c>
      <c r="B13" s="184"/>
      <c r="C13" s="179">
        <v>700000</v>
      </c>
      <c r="D13" s="179">
        <f t="shared" ref="D13:D28" si="0">+D12-C13</f>
        <v>13340000</v>
      </c>
      <c r="E13" s="179"/>
      <c r="F13" s="159"/>
      <c r="G13" s="179"/>
      <c r="H13" s="184">
        <v>42552</v>
      </c>
      <c r="I13" s="184"/>
      <c r="J13" s="179">
        <v>535000</v>
      </c>
      <c r="K13" s="179">
        <f>+J3-J13</f>
        <v>14465000</v>
      </c>
      <c r="L13" s="185"/>
      <c r="M13" s="159"/>
    </row>
    <row r="14" spans="1:13" x14ac:dyDescent="0.2">
      <c r="A14" s="184">
        <v>42917</v>
      </c>
      <c r="B14" s="184"/>
      <c r="C14" s="179">
        <v>720000</v>
      </c>
      <c r="D14" s="179">
        <f t="shared" si="0"/>
        <v>12620000</v>
      </c>
      <c r="E14" s="179"/>
      <c r="F14" s="159"/>
      <c r="G14" s="179"/>
      <c r="H14" s="184">
        <v>42917</v>
      </c>
      <c r="I14" s="184"/>
      <c r="J14" s="179">
        <v>170000</v>
      </c>
      <c r="K14" s="179">
        <f t="shared" ref="K14:K35" si="1">+K13-J14</f>
        <v>14295000</v>
      </c>
      <c r="L14" s="185"/>
    </row>
    <row r="15" spans="1:13" x14ac:dyDescent="0.2">
      <c r="A15" s="184">
        <v>43282</v>
      </c>
      <c r="B15" s="184"/>
      <c r="C15" s="179">
        <v>740000</v>
      </c>
      <c r="D15" s="179">
        <f t="shared" si="0"/>
        <v>11880000</v>
      </c>
      <c r="G15" s="179"/>
      <c r="H15" s="184">
        <v>43282</v>
      </c>
      <c r="I15" s="184"/>
      <c r="J15" s="179">
        <v>175000</v>
      </c>
      <c r="K15" s="179">
        <f t="shared" si="1"/>
        <v>14120000</v>
      </c>
      <c r="L15" s="179"/>
      <c r="M15" s="159"/>
    </row>
    <row r="16" spans="1:13" x14ac:dyDescent="0.2">
      <c r="A16" s="184">
        <v>43647</v>
      </c>
      <c r="B16" s="184"/>
      <c r="C16" s="179">
        <v>765000</v>
      </c>
      <c r="D16" s="179">
        <f t="shared" si="0"/>
        <v>11115000</v>
      </c>
      <c r="E16" s="160"/>
      <c r="F16" s="160"/>
      <c r="G16" s="179"/>
      <c r="H16" s="184">
        <v>43647</v>
      </c>
      <c r="I16" s="184"/>
      <c r="J16" s="179">
        <v>180000</v>
      </c>
      <c r="K16" s="179">
        <f t="shared" si="1"/>
        <v>13940000</v>
      </c>
      <c r="L16" s="179"/>
      <c r="M16" s="159"/>
    </row>
    <row r="17" spans="1:13" x14ac:dyDescent="0.2">
      <c r="A17" s="184">
        <v>44013</v>
      </c>
      <c r="B17" s="184"/>
      <c r="C17" s="179">
        <v>785000</v>
      </c>
      <c r="D17" s="179">
        <f t="shared" si="0"/>
        <v>10330000</v>
      </c>
      <c r="E17" s="185"/>
      <c r="F17" s="159"/>
      <c r="G17" s="179"/>
      <c r="H17" s="184">
        <v>44013</v>
      </c>
      <c r="I17" s="184"/>
      <c r="J17" s="179">
        <v>190000</v>
      </c>
      <c r="K17" s="179">
        <f t="shared" si="1"/>
        <v>13750000</v>
      </c>
      <c r="L17" s="179"/>
      <c r="M17" s="159"/>
    </row>
    <row r="18" spans="1:13" x14ac:dyDescent="0.2">
      <c r="A18" s="184">
        <v>44378</v>
      </c>
      <c r="B18" s="184"/>
      <c r="C18" s="179">
        <v>810000</v>
      </c>
      <c r="D18" s="179">
        <f t="shared" si="0"/>
        <v>9520000</v>
      </c>
      <c r="E18" s="185"/>
      <c r="G18" s="179"/>
      <c r="H18" s="184">
        <v>44378</v>
      </c>
      <c r="I18" s="184"/>
      <c r="J18" s="179">
        <v>195000</v>
      </c>
      <c r="K18" s="179">
        <f t="shared" si="1"/>
        <v>13555000</v>
      </c>
      <c r="L18" s="179"/>
      <c r="M18" s="159"/>
    </row>
    <row r="19" spans="1:13" x14ac:dyDescent="0.2">
      <c r="A19" s="184">
        <v>44743</v>
      </c>
      <c r="B19" s="184"/>
      <c r="C19" s="179">
        <v>835000</v>
      </c>
      <c r="D19" s="179">
        <f t="shared" si="0"/>
        <v>8685000</v>
      </c>
      <c r="E19" s="179"/>
      <c r="F19" s="159"/>
      <c r="G19" s="179"/>
      <c r="H19" s="184">
        <v>44743</v>
      </c>
      <c r="I19" s="184"/>
      <c r="J19" s="179">
        <v>200000</v>
      </c>
      <c r="K19" s="179">
        <f t="shared" si="1"/>
        <v>13355000</v>
      </c>
      <c r="L19" s="179"/>
      <c r="M19" s="159"/>
    </row>
    <row r="20" spans="1:13" x14ac:dyDescent="0.2">
      <c r="A20" s="184">
        <v>45108</v>
      </c>
      <c r="B20" s="184"/>
      <c r="C20" s="179">
        <v>860000</v>
      </c>
      <c r="D20" s="179">
        <f t="shared" si="0"/>
        <v>7825000</v>
      </c>
      <c r="E20" s="179"/>
      <c r="F20" s="159"/>
      <c r="G20" s="179"/>
      <c r="H20" s="184">
        <v>45108</v>
      </c>
      <c r="I20" s="184"/>
      <c r="J20" s="179">
        <v>210000</v>
      </c>
      <c r="K20" s="179">
        <f t="shared" si="1"/>
        <v>13145000</v>
      </c>
      <c r="L20" s="179"/>
      <c r="M20" s="159"/>
    </row>
    <row r="21" spans="1:13" x14ac:dyDescent="0.2">
      <c r="A21" s="184">
        <v>45474</v>
      </c>
      <c r="B21" s="184"/>
      <c r="C21" s="179">
        <v>885000</v>
      </c>
      <c r="D21" s="179">
        <f t="shared" si="0"/>
        <v>6940000</v>
      </c>
      <c r="E21" s="179"/>
      <c r="F21" s="159"/>
      <c r="G21" s="179"/>
      <c r="H21" s="184">
        <v>45474</v>
      </c>
      <c r="I21" s="184"/>
      <c r="J21" s="179">
        <v>220000</v>
      </c>
      <c r="K21" s="179">
        <f t="shared" si="1"/>
        <v>12925000</v>
      </c>
      <c r="L21" s="179"/>
      <c r="M21" s="159"/>
    </row>
    <row r="22" spans="1:13" x14ac:dyDescent="0.2">
      <c r="A22" s="184">
        <v>45839</v>
      </c>
      <c r="B22" s="184"/>
      <c r="C22" s="179">
        <v>905000</v>
      </c>
      <c r="D22" s="179">
        <f t="shared" si="0"/>
        <v>6035000</v>
      </c>
      <c r="E22" s="179"/>
      <c r="F22" s="159"/>
      <c r="G22" s="179"/>
      <c r="H22" s="184">
        <v>45839</v>
      </c>
      <c r="I22" s="184"/>
      <c r="J22" s="179">
        <v>235000</v>
      </c>
      <c r="K22" s="179">
        <f t="shared" si="1"/>
        <v>12690000</v>
      </c>
      <c r="L22" s="179"/>
      <c r="M22" s="159"/>
    </row>
    <row r="23" spans="1:13" x14ac:dyDescent="0.2">
      <c r="A23" s="184">
        <v>46204</v>
      </c>
      <c r="B23" s="184"/>
      <c r="C23" s="179">
        <v>935000</v>
      </c>
      <c r="D23" s="179">
        <f t="shared" si="0"/>
        <v>5100000</v>
      </c>
      <c r="E23" s="179"/>
      <c r="F23" s="159"/>
      <c r="G23" s="179"/>
      <c r="H23" s="184">
        <v>46204</v>
      </c>
      <c r="I23" s="184"/>
      <c r="J23" s="179">
        <v>240000</v>
      </c>
      <c r="K23" s="179">
        <f t="shared" si="1"/>
        <v>12450000</v>
      </c>
      <c r="L23" s="179"/>
      <c r="M23" s="159"/>
    </row>
    <row r="24" spans="1:13" x14ac:dyDescent="0.2">
      <c r="A24" s="184">
        <v>46569</v>
      </c>
      <c r="B24" s="184"/>
      <c r="C24" s="179">
        <v>960000</v>
      </c>
      <c r="D24" s="179">
        <f t="shared" si="0"/>
        <v>4140000</v>
      </c>
      <c r="E24" s="179"/>
      <c r="F24" s="159"/>
      <c r="G24" s="179"/>
      <c r="H24" s="184">
        <v>46569</v>
      </c>
      <c r="I24" s="184"/>
      <c r="J24" s="179">
        <v>250000</v>
      </c>
      <c r="K24" s="179">
        <f t="shared" si="1"/>
        <v>12200000</v>
      </c>
      <c r="L24" s="179"/>
      <c r="M24" s="159"/>
    </row>
    <row r="25" spans="1:13" x14ac:dyDescent="0.2">
      <c r="A25" s="184">
        <v>46935</v>
      </c>
      <c r="B25" s="184"/>
      <c r="C25" s="179">
        <v>990000</v>
      </c>
      <c r="D25" s="179">
        <f t="shared" si="0"/>
        <v>3150000</v>
      </c>
      <c r="E25" s="179"/>
      <c r="F25" s="159"/>
      <c r="G25" s="179"/>
      <c r="H25" s="184">
        <v>46935</v>
      </c>
      <c r="I25" s="184"/>
      <c r="J25" s="179">
        <v>255000</v>
      </c>
      <c r="K25" s="179">
        <f t="shared" si="1"/>
        <v>11945000</v>
      </c>
      <c r="L25" s="186"/>
      <c r="M25" s="159"/>
    </row>
    <row r="26" spans="1:13" x14ac:dyDescent="0.2">
      <c r="A26" s="184">
        <v>47300</v>
      </c>
      <c r="B26" s="184"/>
      <c r="C26" s="179">
        <v>1020000</v>
      </c>
      <c r="D26" s="179">
        <f t="shared" si="0"/>
        <v>2130000</v>
      </c>
      <c r="E26" s="179"/>
      <c r="F26" s="159"/>
      <c r="G26" s="179"/>
      <c r="H26" s="184">
        <v>47300</v>
      </c>
      <c r="I26" s="184"/>
      <c r="J26" s="179">
        <v>265000</v>
      </c>
      <c r="K26" s="179">
        <f t="shared" si="1"/>
        <v>11680000</v>
      </c>
    </row>
    <row r="27" spans="1:13" x14ac:dyDescent="0.2">
      <c r="A27" s="184">
        <v>47665</v>
      </c>
      <c r="B27" s="184"/>
      <c r="C27" s="179">
        <v>1050000</v>
      </c>
      <c r="D27" s="179">
        <f t="shared" si="0"/>
        <v>1080000</v>
      </c>
      <c r="E27" s="179"/>
      <c r="F27" s="159"/>
      <c r="G27" s="179"/>
      <c r="H27" s="184">
        <v>47665</v>
      </c>
      <c r="I27" s="184"/>
      <c r="J27" s="179">
        <v>275000</v>
      </c>
      <c r="K27" s="179">
        <f t="shared" si="1"/>
        <v>11405000</v>
      </c>
    </row>
    <row r="28" spans="1:13" x14ac:dyDescent="0.2">
      <c r="A28" s="184">
        <v>48030</v>
      </c>
      <c r="B28" s="184"/>
      <c r="C28" s="179">
        <v>1080000</v>
      </c>
      <c r="D28" s="179">
        <f t="shared" si="0"/>
        <v>0</v>
      </c>
      <c r="E28" s="179"/>
      <c r="F28" s="159"/>
      <c r="G28" s="179"/>
      <c r="H28" s="184">
        <v>48030</v>
      </c>
      <c r="I28" s="184"/>
      <c r="J28" s="179">
        <v>290000</v>
      </c>
      <c r="K28" s="179">
        <f t="shared" si="1"/>
        <v>11115000</v>
      </c>
    </row>
    <row r="29" spans="1:13" x14ac:dyDescent="0.2">
      <c r="A29" s="184"/>
      <c r="B29" s="184"/>
      <c r="C29" s="179"/>
      <c r="E29" s="186"/>
      <c r="F29" s="159"/>
      <c r="G29" s="179"/>
      <c r="H29" s="184">
        <v>48396</v>
      </c>
      <c r="I29" s="184"/>
      <c r="J29" s="179">
        <v>1420000</v>
      </c>
      <c r="K29" s="179">
        <f t="shared" si="1"/>
        <v>9695000</v>
      </c>
    </row>
    <row r="30" spans="1:13" x14ac:dyDescent="0.2">
      <c r="A30" s="184"/>
      <c r="B30" s="184"/>
      <c r="C30" s="187"/>
      <c r="H30" s="184">
        <v>48761</v>
      </c>
      <c r="I30" s="184"/>
      <c r="J30" s="179">
        <v>1470000</v>
      </c>
      <c r="K30" s="179">
        <f t="shared" si="1"/>
        <v>8225000</v>
      </c>
    </row>
    <row r="31" spans="1:13" x14ac:dyDescent="0.2">
      <c r="A31" s="184"/>
      <c r="B31" s="184"/>
      <c r="H31" s="184">
        <v>49126</v>
      </c>
      <c r="I31" s="184"/>
      <c r="J31" s="187">
        <v>1525000</v>
      </c>
      <c r="K31" s="179">
        <f t="shared" si="1"/>
        <v>6700000</v>
      </c>
    </row>
    <row r="32" spans="1:13" x14ac:dyDescent="0.2">
      <c r="A32" s="184"/>
      <c r="B32" s="184"/>
      <c r="H32" s="184">
        <v>49491</v>
      </c>
      <c r="I32" s="184"/>
      <c r="J32" s="187">
        <v>1585000</v>
      </c>
      <c r="K32" s="179">
        <f t="shared" si="1"/>
        <v>5115000</v>
      </c>
    </row>
    <row r="33" spans="1:11" x14ac:dyDescent="0.2">
      <c r="A33" s="184"/>
      <c r="B33" s="184"/>
      <c r="H33" s="184">
        <v>49857</v>
      </c>
      <c r="I33" s="184"/>
      <c r="J33" s="187">
        <v>1645000</v>
      </c>
      <c r="K33" s="179">
        <f t="shared" si="1"/>
        <v>3470000</v>
      </c>
    </row>
    <row r="34" spans="1:11" x14ac:dyDescent="0.2">
      <c r="A34" s="184"/>
      <c r="B34" s="184"/>
      <c r="H34" s="184">
        <v>50222</v>
      </c>
      <c r="I34" s="184"/>
      <c r="J34" s="187">
        <v>1705000</v>
      </c>
      <c r="K34" s="179">
        <f t="shared" si="1"/>
        <v>1765000</v>
      </c>
    </row>
    <row r="35" spans="1:11" x14ac:dyDescent="0.2">
      <c r="A35" s="184"/>
      <c r="B35" s="184"/>
      <c r="H35" s="184">
        <v>50587</v>
      </c>
      <c r="I35" s="184"/>
      <c r="J35" s="187">
        <v>1765000</v>
      </c>
      <c r="K35" s="179">
        <f t="shared" si="1"/>
        <v>0</v>
      </c>
    </row>
    <row r="36" spans="1:11" x14ac:dyDescent="0.2">
      <c r="A36" s="184"/>
      <c r="B36" s="184"/>
    </row>
    <row r="37" spans="1:11" x14ac:dyDescent="0.2">
      <c r="A37" s="184"/>
      <c r="B37" s="184"/>
    </row>
    <row r="38" spans="1:11" x14ac:dyDescent="0.2">
      <c r="A38" s="184"/>
      <c r="B38" s="184"/>
    </row>
    <row r="39" spans="1:11" x14ac:dyDescent="0.2">
      <c r="A39" s="184"/>
      <c r="B39" s="184"/>
    </row>
    <row r="40" spans="1:11" x14ac:dyDescent="0.2">
      <c r="A40" s="184"/>
      <c r="B40" s="184"/>
    </row>
    <row r="41" spans="1:11" x14ac:dyDescent="0.2">
      <c r="A41" s="184"/>
      <c r="B41" s="184"/>
    </row>
    <row r="42" spans="1:11" x14ac:dyDescent="0.2">
      <c r="A42" s="184"/>
      <c r="B42" s="184"/>
    </row>
    <row r="43" spans="1:11" x14ac:dyDescent="0.2">
      <c r="A43" s="184"/>
      <c r="B43" s="184"/>
    </row>
    <row r="44" spans="1:11" x14ac:dyDescent="0.2">
      <c r="A44" s="184"/>
      <c r="B44" s="184"/>
    </row>
    <row r="45" spans="1:11" x14ac:dyDescent="0.2">
      <c r="A45" s="184"/>
      <c r="B45" s="184"/>
    </row>
    <row r="46" spans="1:11" x14ac:dyDescent="0.2">
      <c r="A46" s="184"/>
      <c r="B46" s="184"/>
    </row>
    <row r="47" spans="1:11" x14ac:dyDescent="0.2">
      <c r="A47" s="184"/>
      <c r="B47" s="184"/>
    </row>
    <row r="48" spans="1:11" x14ac:dyDescent="0.2">
      <c r="A48" s="184"/>
      <c r="B48" s="184"/>
    </row>
    <row r="49" spans="1:2" x14ac:dyDescent="0.2">
      <c r="A49" s="184"/>
      <c r="B49" s="184"/>
    </row>
    <row r="50" spans="1:2" x14ac:dyDescent="0.2">
      <c r="A50" s="184"/>
      <c r="B50" s="184"/>
    </row>
    <row r="51" spans="1:2" x14ac:dyDescent="0.2">
      <c r="A51" s="184"/>
      <c r="B51" s="184"/>
    </row>
    <row r="52" spans="1:2" x14ac:dyDescent="0.2">
      <c r="A52" s="184"/>
      <c r="B52" s="184"/>
    </row>
    <row r="53" spans="1:2" x14ac:dyDescent="0.2">
      <c r="A53" s="184"/>
      <c r="B53" s="184"/>
    </row>
    <row r="54" spans="1:2" x14ac:dyDescent="0.2">
      <c r="A54" s="184"/>
      <c r="B54" s="184"/>
    </row>
    <row r="55" spans="1:2" x14ac:dyDescent="0.2">
      <c r="A55" s="184"/>
    </row>
  </sheetData>
  <mergeCells count="2">
    <mergeCell ref="A2:F2"/>
    <mergeCell ref="H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22" workbookViewId="0">
      <selection activeCell="C38" sqref="C36:C38"/>
    </sheetView>
  </sheetViews>
  <sheetFormatPr defaultColWidth="8.85546875" defaultRowHeight="15" x14ac:dyDescent="0.25"/>
  <cols>
    <col min="1" max="1" width="63" style="1" customWidth="1"/>
    <col min="2" max="2" width="13.42578125" style="42" customWidth="1"/>
    <col min="3" max="3" width="20.28515625" style="1" bestFit="1" customWidth="1"/>
    <col min="4" max="4" width="14.7109375" style="1" bestFit="1" customWidth="1"/>
    <col min="5" max="7" width="13.7109375" style="1" bestFit="1" customWidth="1"/>
    <col min="8" max="8" width="11.140625" style="1" bestFit="1" customWidth="1"/>
    <col min="9" max="9" width="12.85546875" style="1" bestFit="1" customWidth="1"/>
    <col min="10" max="16384" width="8.85546875" style="1"/>
  </cols>
  <sheetData>
    <row r="1" spans="1:9" x14ac:dyDescent="0.25">
      <c r="A1" s="9" t="s">
        <v>188</v>
      </c>
    </row>
    <row r="2" spans="1:9" x14ac:dyDescent="0.25">
      <c r="A2" s="9" t="s">
        <v>117</v>
      </c>
    </row>
    <row r="3" spans="1:9" x14ac:dyDescent="0.25">
      <c r="A3" s="9" t="s">
        <v>446</v>
      </c>
      <c r="C3" s="271"/>
      <c r="D3" s="271"/>
      <c r="E3" s="271"/>
      <c r="F3" s="271"/>
    </row>
    <row r="4" spans="1:9" x14ac:dyDescent="0.25">
      <c r="B4" s="188"/>
      <c r="C4" s="43">
        <v>2016</v>
      </c>
      <c r="D4" s="43">
        <f t="shared" ref="D4:G4" si="0">+C4+1</f>
        <v>2017</v>
      </c>
      <c r="E4" s="43">
        <f t="shared" si="0"/>
        <v>2018</v>
      </c>
      <c r="F4" s="43">
        <f t="shared" si="0"/>
        <v>2019</v>
      </c>
      <c r="G4" s="43">
        <f t="shared" si="0"/>
        <v>2020</v>
      </c>
    </row>
    <row r="5" spans="1:9" x14ac:dyDescent="0.25">
      <c r="B5" s="189" t="s">
        <v>94</v>
      </c>
      <c r="C5" s="44" t="s">
        <v>109</v>
      </c>
      <c r="D5" s="44" t="s">
        <v>109</v>
      </c>
      <c r="E5" s="44" t="s">
        <v>109</v>
      </c>
      <c r="F5" s="44" t="s">
        <v>109</v>
      </c>
      <c r="G5" s="44" t="s">
        <v>109</v>
      </c>
    </row>
    <row r="6" spans="1:9" x14ac:dyDescent="0.25">
      <c r="B6" s="190">
        <v>42185</v>
      </c>
      <c r="C6" s="44" t="s">
        <v>104</v>
      </c>
      <c r="D6" s="44" t="s">
        <v>105</v>
      </c>
      <c r="E6" s="44" t="s">
        <v>106</v>
      </c>
      <c r="F6" s="44" t="s">
        <v>107</v>
      </c>
      <c r="G6" s="44" t="s">
        <v>108</v>
      </c>
    </row>
    <row r="7" spans="1:9" x14ac:dyDescent="0.25">
      <c r="B7" s="188"/>
    </row>
    <row r="8" spans="1:9" x14ac:dyDescent="0.25">
      <c r="A8" s="9" t="s">
        <v>118</v>
      </c>
      <c r="B8" s="45">
        <f>+'Tuition &amp; Fee Revenue'!B50</f>
        <v>35240955.93</v>
      </c>
      <c r="C8" s="45">
        <f>+'Tuition &amp; Fee Revenue'!D50</f>
        <v>35289656.5</v>
      </c>
      <c r="D8" s="45">
        <f>+'Tuition &amp; Fee Revenue'!E50</f>
        <v>38649903.600000001</v>
      </c>
      <c r="E8" s="45">
        <f>+'Tuition &amp; Fee Revenue'!F50</f>
        <v>42496689.5</v>
      </c>
      <c r="F8" s="45">
        <f>+'Tuition &amp; Fee Revenue'!G50</f>
        <v>46216839.020000003</v>
      </c>
      <c r="G8" s="45">
        <f>+'Tuition &amp; Fee Revenue'!H50</f>
        <v>48810158.350400001</v>
      </c>
      <c r="H8" s="69"/>
    </row>
    <row r="9" spans="1:9" x14ac:dyDescent="0.25">
      <c r="A9" s="9" t="s">
        <v>119</v>
      </c>
      <c r="B9" s="45">
        <f>+'Student Aid'!B12</f>
        <v>8688600</v>
      </c>
      <c r="C9" s="233">
        <f>+'Student Aid'!D12</f>
        <v>8113311.5999999996</v>
      </c>
      <c r="D9" s="233">
        <f>+'Student Aid'!E12</f>
        <v>8876018.5600000005</v>
      </c>
      <c r="E9" s="233">
        <f>+'Student Aid'!F12</f>
        <v>9708963.2359999996</v>
      </c>
      <c r="F9" s="233">
        <f>+'Student Aid'!G12</f>
        <v>10334698.559600001</v>
      </c>
      <c r="G9" s="233">
        <f>+'Student Aid'!H12</f>
        <v>10884464.415560002</v>
      </c>
      <c r="H9" s="113"/>
    </row>
    <row r="10" spans="1:9" x14ac:dyDescent="0.25">
      <c r="A10" s="9" t="s">
        <v>120</v>
      </c>
      <c r="B10" s="45">
        <f>+'Student Aid'!B24</f>
        <v>1336941</v>
      </c>
      <c r="C10" s="233">
        <f>+'Student Aid'!D24</f>
        <v>1338650</v>
      </c>
      <c r="D10" s="233">
        <f>+'Student Aid'!E24</f>
        <v>1338650</v>
      </c>
      <c r="E10" s="233">
        <f>+'Student Aid'!F24</f>
        <v>1338650</v>
      </c>
      <c r="F10" s="233">
        <f>+'Student Aid'!G24</f>
        <v>1338650</v>
      </c>
      <c r="G10" s="233">
        <f>+'Student Aid'!H24</f>
        <v>1338650</v>
      </c>
    </row>
    <row r="11" spans="1:9" x14ac:dyDescent="0.25"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</row>
    <row r="12" spans="1:9" x14ac:dyDescent="0.25">
      <c r="A12" s="9" t="s">
        <v>122</v>
      </c>
      <c r="B12" s="45">
        <f>+B8-B9-B10</f>
        <v>25215414.93</v>
      </c>
      <c r="C12" s="45">
        <f t="shared" ref="C12:G12" si="1">+C8-C9-C10</f>
        <v>25837694.899999999</v>
      </c>
      <c r="D12" s="45">
        <f t="shared" si="1"/>
        <v>28435235.039999999</v>
      </c>
      <c r="E12" s="45">
        <f t="shared" si="1"/>
        <v>31449076.263999999</v>
      </c>
      <c r="F12" s="45">
        <f t="shared" si="1"/>
        <v>34543490.4604</v>
      </c>
      <c r="G12" s="45">
        <f t="shared" si="1"/>
        <v>36587043.934840001</v>
      </c>
    </row>
    <row r="13" spans="1:9" x14ac:dyDescent="0.25">
      <c r="A13" s="165"/>
      <c r="C13" s="42"/>
      <c r="D13" s="42"/>
      <c r="E13" s="42"/>
      <c r="F13" s="42"/>
      <c r="G13" s="42"/>
    </row>
    <row r="14" spans="1:9" x14ac:dyDescent="0.25">
      <c r="A14" s="9" t="s">
        <v>197</v>
      </c>
      <c r="B14" s="50">
        <f>'Grant Revenue'!B10</f>
        <v>422601.39</v>
      </c>
      <c r="C14" s="51">
        <f>+'Grant Revenue'!D10</f>
        <v>422601.39</v>
      </c>
      <c r="D14" s="51">
        <f>+'Grant Revenue'!E10</f>
        <v>420037.39</v>
      </c>
      <c r="E14" s="51">
        <f>+'Grant Revenue'!F10</f>
        <v>420037.39</v>
      </c>
      <c r="F14" s="51">
        <f>+'Grant Revenue'!G10</f>
        <v>420037.39</v>
      </c>
      <c r="G14" s="51">
        <f>+'Grant Revenue'!H10</f>
        <v>420037.39</v>
      </c>
    </row>
    <row r="15" spans="1:9" x14ac:dyDescent="0.25">
      <c r="A15" s="9" t="s">
        <v>123</v>
      </c>
      <c r="B15" s="50">
        <f>'Grant Revenue'!B16+'Grant Revenue'!B17+'Grant Revenue'!B18+'Grant Revenue'!B19</f>
        <v>768171.11</v>
      </c>
      <c r="C15" s="51">
        <f>+'Grant Revenue'!D24</f>
        <v>750000</v>
      </c>
      <c r="D15" s="51">
        <f>+'Grant Revenue'!E24</f>
        <v>800000</v>
      </c>
      <c r="E15" s="51">
        <f>+'Grant Revenue'!F24</f>
        <v>800000</v>
      </c>
      <c r="F15" s="51">
        <f>+'Grant Revenue'!G24</f>
        <v>800000</v>
      </c>
      <c r="G15" s="51">
        <f>+'Grant Revenue'!H24</f>
        <v>800000</v>
      </c>
    </row>
    <row r="16" spans="1:9" x14ac:dyDescent="0.25">
      <c r="A16" s="9" t="s">
        <v>124</v>
      </c>
      <c r="B16" s="51">
        <f>+'Auxiliary Revenue'!B14</f>
        <v>3663355.8200000003</v>
      </c>
      <c r="C16" s="51">
        <f>+'Auxiliary Revenue'!D14</f>
        <v>3436391.3062</v>
      </c>
      <c r="D16" s="51">
        <f>+'Auxiliary Revenue'!E14</f>
        <v>3503535.6225359999</v>
      </c>
      <c r="E16" s="51">
        <f>+'Auxiliary Revenue'!F14</f>
        <v>3572918.6541518997</v>
      </c>
      <c r="F16" s="51">
        <f>+'Auxiliary Revenue'!G14</f>
        <v>3644616.5872335956</v>
      </c>
      <c r="G16" s="51">
        <f>+'Auxiliary Revenue'!H14</f>
        <v>3718708.2319745147</v>
      </c>
      <c r="I16" s="245"/>
    </row>
    <row r="17" spans="1:8" x14ac:dyDescent="0.25">
      <c r="A17" s="9" t="s">
        <v>125</v>
      </c>
      <c r="B17" s="50">
        <f>'Auxiliary Revenue'!B32</f>
        <v>384788.77</v>
      </c>
      <c r="C17" s="51">
        <f>+'Auxiliary Revenue'!D32</f>
        <v>384788.77</v>
      </c>
      <c r="D17" s="51">
        <f>+'Auxiliary Revenue'!E32</f>
        <v>449971.98763800005</v>
      </c>
      <c r="E17" s="51">
        <f>+'Auxiliary Revenue'!F32</f>
        <v>449971.98763800005</v>
      </c>
      <c r="F17" s="51">
        <f>+'Auxiliary Revenue'!G32</f>
        <v>449971.98763800005</v>
      </c>
      <c r="G17" s="51">
        <f>+'Auxiliary Revenue'!H32</f>
        <v>449971.98763800005</v>
      </c>
    </row>
    <row r="18" spans="1:8" x14ac:dyDescent="0.25">
      <c r="A18" s="9" t="s">
        <v>126</v>
      </c>
      <c r="B18" s="50">
        <f>'Other Revenue'!B14</f>
        <v>315752.36000000004</v>
      </c>
      <c r="C18" s="51">
        <f>+'Other Revenue'!D14</f>
        <v>326734.04640000005</v>
      </c>
      <c r="D18" s="51">
        <f>+'Other Revenue'!E14</f>
        <v>326734.04640000005</v>
      </c>
      <c r="E18" s="51">
        <f>+'Other Revenue'!F14</f>
        <v>338855.96825600008</v>
      </c>
      <c r="F18" s="51">
        <f>+'Other Revenue'!G14</f>
        <v>351462.76698624005</v>
      </c>
      <c r="G18" s="51">
        <f>+'Other Revenue'!H14</f>
        <v>364573.83766568964</v>
      </c>
    </row>
    <row r="19" spans="1:8" x14ac:dyDescent="0.25">
      <c r="A19" s="9" t="s">
        <v>287</v>
      </c>
      <c r="B19" s="50">
        <v>100156</v>
      </c>
      <c r="C19" s="51">
        <v>225000</v>
      </c>
      <c r="D19" s="51">
        <v>225000</v>
      </c>
      <c r="E19" s="51">
        <v>225000</v>
      </c>
      <c r="F19" s="51">
        <v>225000</v>
      </c>
      <c r="G19" s="51">
        <v>225000</v>
      </c>
    </row>
    <row r="20" spans="1:8" x14ac:dyDescent="0.25">
      <c r="B20" s="46" t="s">
        <v>121</v>
      </c>
      <c r="C20" s="46" t="s">
        <v>121</v>
      </c>
      <c r="D20" s="46" t="s">
        <v>121</v>
      </c>
      <c r="E20" s="46" t="s">
        <v>121</v>
      </c>
      <c r="F20" s="46" t="s">
        <v>121</v>
      </c>
      <c r="G20" s="46" t="s">
        <v>121</v>
      </c>
    </row>
    <row r="21" spans="1:8" x14ac:dyDescent="0.25">
      <c r="A21" s="9" t="s">
        <v>127</v>
      </c>
      <c r="B21" s="45">
        <f>SUM(B12:B19)</f>
        <v>30870240.379999999</v>
      </c>
      <c r="C21" s="45">
        <f t="shared" ref="C21:G21" si="2">SUM(C12:C19)</f>
        <v>31383210.412599999</v>
      </c>
      <c r="D21" s="45">
        <f t="shared" si="2"/>
        <v>34160514.086574003</v>
      </c>
      <c r="E21" s="45">
        <f t="shared" si="2"/>
        <v>37255860.264045894</v>
      </c>
      <c r="F21" s="45">
        <f t="shared" si="2"/>
        <v>40434579.192257836</v>
      </c>
      <c r="G21" s="45">
        <f t="shared" si="2"/>
        <v>42565335.382118203</v>
      </c>
      <c r="H21" s="69"/>
    </row>
    <row r="22" spans="1:8" x14ac:dyDescent="0.25">
      <c r="C22" s="42"/>
      <c r="D22" s="42"/>
      <c r="E22" s="42"/>
      <c r="F22" s="42"/>
      <c r="G22" s="42"/>
    </row>
    <row r="23" spans="1:8" x14ac:dyDescent="0.25">
      <c r="A23" s="9" t="s">
        <v>392</v>
      </c>
      <c r="B23" s="45">
        <v>1888896</v>
      </c>
      <c r="C23" s="233">
        <v>1250000</v>
      </c>
      <c r="D23" s="233">
        <f>+C23</f>
        <v>1250000</v>
      </c>
      <c r="E23" s="233">
        <f>+D23</f>
        <v>1250000</v>
      </c>
      <c r="F23" s="233">
        <f>+E23</f>
        <v>1250000</v>
      </c>
      <c r="G23" s="233">
        <f>+F23</f>
        <v>1250000</v>
      </c>
    </row>
    <row r="24" spans="1:8" x14ac:dyDescent="0.25">
      <c r="B24" s="46" t="s">
        <v>121</v>
      </c>
      <c r="C24" s="46" t="s">
        <v>121</v>
      </c>
      <c r="D24" s="46" t="s">
        <v>121</v>
      </c>
      <c r="E24" s="46" t="s">
        <v>121</v>
      </c>
      <c r="F24" s="46" t="s">
        <v>121</v>
      </c>
      <c r="G24" s="46" t="s">
        <v>121</v>
      </c>
    </row>
    <row r="25" spans="1:8" x14ac:dyDescent="0.25">
      <c r="C25" s="42"/>
      <c r="D25" s="42"/>
      <c r="E25" s="42"/>
      <c r="F25" s="42"/>
      <c r="G25" s="42"/>
    </row>
    <row r="26" spans="1:8" x14ac:dyDescent="0.25">
      <c r="A26" s="9" t="s">
        <v>244</v>
      </c>
      <c r="B26" s="234">
        <f>+B21+B23</f>
        <v>32759136.379999999</v>
      </c>
      <c r="C26" s="234">
        <f t="shared" ref="C26:G26" si="3">+C21+C23</f>
        <v>32633210.412599999</v>
      </c>
      <c r="D26" s="234">
        <f t="shared" si="3"/>
        <v>35410514.086574003</v>
      </c>
      <c r="E26" s="234">
        <f t="shared" si="3"/>
        <v>38505860.264045894</v>
      </c>
      <c r="F26" s="234">
        <f t="shared" si="3"/>
        <v>41684579.192257836</v>
      </c>
      <c r="G26" s="234">
        <f t="shared" si="3"/>
        <v>43815335.382118203</v>
      </c>
    </row>
    <row r="27" spans="1:8" x14ac:dyDescent="0.25">
      <c r="B27" s="48"/>
      <c r="C27" s="42"/>
      <c r="D27" s="42"/>
      <c r="E27" s="42"/>
      <c r="F27" s="42"/>
      <c r="G27" s="42"/>
    </row>
    <row r="28" spans="1:8" x14ac:dyDescent="0.25">
      <c r="A28" s="49" t="s">
        <v>128</v>
      </c>
      <c r="B28" s="48"/>
      <c r="C28" s="42"/>
      <c r="D28" s="42"/>
      <c r="E28" s="42"/>
      <c r="F28" s="42"/>
      <c r="G28" s="42"/>
    </row>
    <row r="29" spans="1:8" x14ac:dyDescent="0.25">
      <c r="A29" s="9" t="s">
        <v>88</v>
      </c>
      <c r="B29" s="51">
        <f>+'Expenses by Object'!D11</f>
        <v>18474824.030000001</v>
      </c>
      <c r="C29" s="51">
        <f>+'Expenses by Object'!F11</f>
        <v>18779958.050000001</v>
      </c>
      <c r="D29" s="51">
        <f>+'Expenses by Object'!G11</f>
        <v>19678818.642899998</v>
      </c>
      <c r="E29" s="51">
        <f>+'Expenses by Object'!H11</f>
        <v>20624056.057989001</v>
      </c>
      <c r="F29" s="51">
        <f>+'Expenses by Object'!I11</f>
        <v>21618288.550872453</v>
      </c>
      <c r="G29" s="51">
        <f>+'Expenses by Object'!J11</f>
        <v>22664296.631539453</v>
      </c>
    </row>
    <row r="30" spans="1:8" x14ac:dyDescent="0.25">
      <c r="A30" s="9" t="s">
        <v>3</v>
      </c>
      <c r="B30" s="51">
        <f>+'Expenses by Object'!D89</f>
        <v>2052264.13</v>
      </c>
      <c r="C30" s="51">
        <f>+'Expenses by Object'!F89</f>
        <v>2159472.91</v>
      </c>
      <c r="D30" s="51">
        <f>+'Expenses by Object'!G89</f>
        <v>2355260.2010000004</v>
      </c>
      <c r="E30" s="51">
        <f>+'Expenses by Object'!H89</f>
        <v>2569215.0211000005</v>
      </c>
      <c r="F30" s="51">
        <f>+'Expenses by Object'!I89</f>
        <v>2803055.3392100004</v>
      </c>
      <c r="G30" s="51">
        <f>+'Expenses by Object'!J89</f>
        <v>3058664.0062510003</v>
      </c>
    </row>
    <row r="31" spans="1:8" x14ac:dyDescent="0.25">
      <c r="A31" s="9" t="s">
        <v>89</v>
      </c>
      <c r="B31" s="51">
        <f>+'Expenses by Object'!D97</f>
        <v>1471143.03</v>
      </c>
      <c r="C31" s="51">
        <f>+'Expenses by Object'!F97</f>
        <v>1615000</v>
      </c>
      <c r="D31" s="51">
        <f>+'Expenses by Object'!G97</f>
        <v>1736125</v>
      </c>
      <c r="E31" s="51">
        <f>+'Expenses by Object'!H97</f>
        <v>1866334.375</v>
      </c>
      <c r="F31" s="51">
        <f>+'Expenses by Object'!I97</f>
        <v>2062299.484375</v>
      </c>
      <c r="G31" s="51">
        <f>+'Expenses by Object'!J97</f>
        <v>2278840.9302343749</v>
      </c>
    </row>
    <row r="32" spans="1:8" x14ac:dyDescent="0.25">
      <c r="A32" s="9" t="s">
        <v>90</v>
      </c>
      <c r="B32" s="51">
        <f>+'Expenses by Object'!D83</f>
        <v>8097330.3200000012</v>
      </c>
      <c r="C32" s="51">
        <f>+'Expenses by Object'!F83</f>
        <v>9220308.5499999989</v>
      </c>
      <c r="D32" s="51">
        <f>+'Expenses by Object'!G83</f>
        <v>9769695.3710999992</v>
      </c>
      <c r="E32" s="51">
        <f>+'Expenses by Object'!H83</f>
        <v>10370526.322032999</v>
      </c>
      <c r="F32" s="51">
        <f>+'Expenses by Object'!I83</f>
        <v>11040984.64030752</v>
      </c>
      <c r="G32" s="51">
        <f>+'Expenses by Object'!J83</f>
        <v>11761006.500085849</v>
      </c>
    </row>
    <row r="33" spans="1:7" x14ac:dyDescent="0.25">
      <c r="A33" s="9" t="s">
        <v>277</v>
      </c>
      <c r="B33" s="51">
        <f>'Expenses by Object'!D92</f>
        <v>0</v>
      </c>
      <c r="C33" s="51">
        <f>'Expenses by Object'!F92</f>
        <v>13900</v>
      </c>
      <c r="D33" s="51">
        <f>'Expenses by Object'!G92</f>
        <v>200000</v>
      </c>
      <c r="E33" s="51">
        <f>'Expenses by Object'!H92</f>
        <v>200000</v>
      </c>
      <c r="F33" s="51">
        <f>'Expenses by Object'!I92</f>
        <v>200000</v>
      </c>
      <c r="G33" s="51">
        <f>'Expenses by Object'!J92</f>
        <v>200000</v>
      </c>
    </row>
    <row r="34" spans="1:7" x14ac:dyDescent="0.25">
      <c r="A34" s="9"/>
      <c r="B34" s="51"/>
      <c r="C34" s="51"/>
      <c r="D34" s="51"/>
      <c r="E34" s="51"/>
      <c r="F34" s="51"/>
      <c r="G34" s="51"/>
    </row>
    <row r="35" spans="1:7" x14ac:dyDescent="0.25">
      <c r="A35" s="49" t="s">
        <v>452</v>
      </c>
      <c r="B35" s="50"/>
      <c r="C35" s="50"/>
      <c r="D35" s="50"/>
      <c r="E35" s="50"/>
      <c r="F35" s="50"/>
      <c r="G35" s="50"/>
    </row>
    <row r="36" spans="1:7" x14ac:dyDescent="0.25">
      <c r="A36" s="9" t="s">
        <v>58</v>
      </c>
      <c r="B36" s="50">
        <v>0</v>
      </c>
      <c r="C36" s="50">
        <f>+'Academic Center Related Expense'!D5</f>
        <v>55000</v>
      </c>
      <c r="D36" s="50">
        <f>+'Academic Center Related Expense'!E5</f>
        <v>56650</v>
      </c>
      <c r="E36" s="50">
        <f>+'Academic Center Related Expense'!F5</f>
        <v>58349.5</v>
      </c>
      <c r="F36" s="50">
        <f>+'Academic Center Related Expense'!G5</f>
        <v>60099.985000000001</v>
      </c>
      <c r="G36" s="50">
        <f>+'Academic Center Related Expense'!H5</f>
        <v>61902.984550000001</v>
      </c>
    </row>
    <row r="37" spans="1:7" x14ac:dyDescent="0.25">
      <c r="A37" s="9" t="s">
        <v>454</v>
      </c>
      <c r="B37" s="50">
        <v>0</v>
      </c>
      <c r="C37" s="50">
        <f>+'Academic Center Related Expense'!D7+'Academic Center Related Expense'!D8</f>
        <v>180000</v>
      </c>
      <c r="D37" s="50">
        <f>+'Academic Center Related Expense'!E7+'Academic Center Related Expense'!E8</f>
        <v>187200</v>
      </c>
      <c r="E37" s="50">
        <f>+'Academic Center Related Expense'!F7+'Academic Center Related Expense'!F8</f>
        <v>194688</v>
      </c>
      <c r="F37" s="50">
        <f>+'Academic Center Related Expense'!G7+'Academic Center Related Expense'!G8</f>
        <v>202475.52000000002</v>
      </c>
      <c r="G37" s="50">
        <f>+'Academic Center Related Expense'!H7+'Academic Center Related Expense'!H8</f>
        <v>210574.54080000002</v>
      </c>
    </row>
    <row r="38" spans="1:7" x14ac:dyDescent="0.25">
      <c r="A38" s="9" t="s">
        <v>457</v>
      </c>
      <c r="B38" s="50">
        <v>0</v>
      </c>
      <c r="C38" s="50">
        <f>+'Academic Center Related Expense'!D10+'Academic Center Related Expense'!D11+'Academic Center Related Expense'!D12+'Academic Center Related Expense'!D13</f>
        <v>515000</v>
      </c>
      <c r="D38" s="50">
        <f>+'Academic Center Related Expense'!E10+'Academic Center Related Expense'!E11+'Academic Center Related Expense'!E12+'Academic Center Related Expense'!E13</f>
        <v>530450</v>
      </c>
      <c r="E38" s="50">
        <f>+'Academic Center Related Expense'!F10+'Academic Center Related Expense'!F11+'Academic Center Related Expense'!F12+'Academic Center Related Expense'!F13</f>
        <v>546363.5</v>
      </c>
      <c r="F38" s="50">
        <f>+'Academic Center Related Expense'!G10+'Academic Center Related Expense'!G11+'Academic Center Related Expense'!G12+'Academic Center Related Expense'!G13</f>
        <v>562754.40500000003</v>
      </c>
      <c r="G38" s="50">
        <f>+'Academic Center Related Expense'!H10+'Academic Center Related Expense'!H11+'Academic Center Related Expense'!H12+'Academic Center Related Expense'!H13</f>
        <v>579637.03714999999</v>
      </c>
    </row>
    <row r="39" spans="1:7" x14ac:dyDescent="0.25">
      <c r="B39" s="46" t="s">
        <v>121</v>
      </c>
      <c r="C39" s="46" t="s">
        <v>121</v>
      </c>
      <c r="D39" s="46" t="s">
        <v>121</v>
      </c>
      <c r="E39" s="46" t="s">
        <v>121</v>
      </c>
      <c r="F39" s="46" t="s">
        <v>121</v>
      </c>
      <c r="G39" s="46" t="s">
        <v>121</v>
      </c>
    </row>
    <row r="40" spans="1:7" x14ac:dyDescent="0.25">
      <c r="A40" s="9" t="s">
        <v>129</v>
      </c>
      <c r="B40" s="50">
        <f>SUM(B28:B38)</f>
        <v>30095561.510000002</v>
      </c>
      <c r="C40" s="50">
        <f t="shared" ref="C40:G40" si="4">SUM(C28:C38)</f>
        <v>32538639.509999998</v>
      </c>
      <c r="D40" s="50">
        <f t="shared" si="4"/>
        <v>34514199.214999996</v>
      </c>
      <c r="E40" s="50">
        <f t="shared" si="4"/>
        <v>36429532.776122004</v>
      </c>
      <c r="F40" s="50">
        <f t="shared" si="4"/>
        <v>38549957.924764976</v>
      </c>
      <c r="G40" s="50">
        <f t="shared" si="4"/>
        <v>40814922.630610675</v>
      </c>
    </row>
    <row r="41" spans="1:7" x14ac:dyDescent="0.25">
      <c r="A41" s="9"/>
      <c r="B41" s="50"/>
      <c r="C41" s="50"/>
      <c r="D41" s="50"/>
      <c r="E41" s="50"/>
      <c r="F41" s="50"/>
      <c r="G41" s="50"/>
    </row>
    <row r="42" spans="1:7" x14ac:dyDescent="0.25">
      <c r="B42" s="51"/>
      <c r="C42" s="51"/>
      <c r="D42" s="51"/>
      <c r="E42" s="51"/>
      <c r="F42" s="51"/>
      <c r="G42" s="42"/>
    </row>
    <row r="43" spans="1:7" s="16" customFormat="1" ht="14.25" x14ac:dyDescent="0.2">
      <c r="A43" s="52" t="s">
        <v>130</v>
      </c>
      <c r="B43" s="235">
        <f t="shared" ref="B43:G43" si="5">+B26-B40</f>
        <v>2663574.8699999973</v>
      </c>
      <c r="C43" s="235">
        <f t="shared" si="5"/>
        <v>94570.902600001544</v>
      </c>
      <c r="D43" s="235">
        <f t="shared" si="5"/>
        <v>896314.87157400697</v>
      </c>
      <c r="E43" s="235">
        <f t="shared" si="5"/>
        <v>2076327.4879238904</v>
      </c>
      <c r="F43" s="235">
        <f t="shared" si="5"/>
        <v>3134621.2674928606</v>
      </c>
      <c r="G43" s="235">
        <f t="shared" si="5"/>
        <v>3000412.7515075281</v>
      </c>
    </row>
    <row r="44" spans="1:7" x14ac:dyDescent="0.25">
      <c r="C44" s="42"/>
      <c r="D44" s="42"/>
      <c r="E44" s="42"/>
      <c r="F44" s="42"/>
      <c r="G44" s="42"/>
    </row>
    <row r="45" spans="1:7" x14ac:dyDescent="0.25">
      <c r="A45" s="49" t="s">
        <v>131</v>
      </c>
      <c r="C45" s="42"/>
      <c r="D45" s="42"/>
      <c r="E45" s="42"/>
      <c r="F45" s="42"/>
      <c r="G45" s="42"/>
    </row>
    <row r="46" spans="1:7" ht="13.5" customHeight="1" x14ac:dyDescent="0.25">
      <c r="A46" s="9" t="s">
        <v>123</v>
      </c>
      <c r="B46" s="50">
        <f>'Grant Revenue'!B21</f>
        <v>209368.77</v>
      </c>
      <c r="C46" s="50">
        <v>268577</v>
      </c>
      <c r="D46" s="50">
        <v>268577</v>
      </c>
      <c r="E46" s="50">
        <v>268577</v>
      </c>
      <c r="F46" s="50">
        <v>268577</v>
      </c>
      <c r="G46" s="50">
        <v>268577</v>
      </c>
    </row>
    <row r="47" spans="1:7" ht="13.5" customHeight="1" x14ac:dyDescent="0.25">
      <c r="A47" s="9" t="s">
        <v>395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9" t="s">
        <v>396</v>
      </c>
      <c r="B48" s="50">
        <f>312+60336</f>
        <v>60648</v>
      </c>
      <c r="C48" s="51">
        <v>250000</v>
      </c>
      <c r="D48" s="51">
        <v>250000</v>
      </c>
      <c r="E48" s="51">
        <v>250000</v>
      </c>
      <c r="F48" s="51">
        <v>250000</v>
      </c>
      <c r="G48" s="50">
        <v>250000</v>
      </c>
    </row>
    <row r="49" spans="1:7" x14ac:dyDescent="0.25">
      <c r="A49" s="9" t="s">
        <v>443</v>
      </c>
      <c r="B49" s="50">
        <v>-739353</v>
      </c>
      <c r="C49" s="50">
        <v>-700000</v>
      </c>
      <c r="D49" s="50">
        <v>-100000</v>
      </c>
      <c r="E49" s="50">
        <v>-50000</v>
      </c>
      <c r="F49" s="50">
        <v>0</v>
      </c>
      <c r="G49" s="50">
        <v>0</v>
      </c>
    </row>
    <row r="50" spans="1:7" x14ac:dyDescent="0.25">
      <c r="A50" s="9" t="s">
        <v>397</v>
      </c>
      <c r="B50" s="50">
        <f>-SUM('Expenses by Object'!C105:C106)</f>
        <v>-1113060</v>
      </c>
      <c r="C50" s="51">
        <f>-'Expenses by Object'!F122-'Expenses by Object'!F123</f>
        <v>-1047784.0544</v>
      </c>
      <c r="D50" s="51">
        <f>-'Expenses by Object'!G122-'Expenses by Object'!G123</f>
        <v>-990093.19640000002</v>
      </c>
      <c r="E50" s="51">
        <f>-'Expenses by Object'!H122-'Expenses by Object'!H123</f>
        <v>-1693470.1964</v>
      </c>
      <c r="F50" s="51">
        <f>-'Expenses by Object'!I122-'Expenses by Object'!I123</f>
        <v>-1696987.1964</v>
      </c>
      <c r="G50" s="51">
        <f>-'Expenses by Object'!J122-'Expenses by Object'!J123</f>
        <v>-1700653.1964</v>
      </c>
    </row>
    <row r="51" spans="1:7" x14ac:dyDescent="0.25">
      <c r="B51" s="46" t="s">
        <v>121</v>
      </c>
      <c r="C51" s="46" t="s">
        <v>121</v>
      </c>
      <c r="D51" s="46" t="s">
        <v>121</v>
      </c>
      <c r="E51" s="46" t="s">
        <v>121</v>
      </c>
      <c r="F51" s="46" t="s">
        <v>121</v>
      </c>
      <c r="G51" s="46" t="s">
        <v>121</v>
      </c>
    </row>
    <row r="52" spans="1:7" x14ac:dyDescent="0.25">
      <c r="A52" s="9" t="s">
        <v>132</v>
      </c>
      <c r="B52" s="50">
        <f t="shared" ref="B52:G52" si="6">SUM(B43:B50)</f>
        <v>1081178.6399999973</v>
      </c>
      <c r="C52" s="50">
        <f t="shared" si="6"/>
        <v>-1134636.1517999985</v>
      </c>
      <c r="D52" s="50">
        <f t="shared" si="6"/>
        <v>324798.67517400696</v>
      </c>
      <c r="E52" s="50">
        <f t="shared" si="6"/>
        <v>851434.29152389034</v>
      </c>
      <c r="F52" s="50">
        <f t="shared" si="6"/>
        <v>1956211.0710928605</v>
      </c>
      <c r="G52" s="50">
        <f t="shared" si="6"/>
        <v>1818336.5551075281</v>
      </c>
    </row>
    <row r="53" spans="1:7" x14ac:dyDescent="0.25">
      <c r="B53" s="51"/>
      <c r="C53" s="51"/>
      <c r="D53" s="51"/>
      <c r="E53" s="51"/>
      <c r="F53" s="51"/>
      <c r="G53" s="42"/>
    </row>
    <row r="54" spans="1:7" x14ac:dyDescent="0.25">
      <c r="A54" s="9" t="s">
        <v>133</v>
      </c>
      <c r="B54" s="50">
        <v>35165309</v>
      </c>
      <c r="C54" s="51">
        <f>+B56</f>
        <v>36246487.640000001</v>
      </c>
      <c r="D54" s="51">
        <f>+C56</f>
        <v>35111851.488200001</v>
      </c>
      <c r="E54" s="51">
        <f>+D56</f>
        <v>35436650.163374007</v>
      </c>
      <c r="F54" s="51">
        <f>+E56</f>
        <v>36288084.454897895</v>
      </c>
      <c r="G54" s="51">
        <f>+F56</f>
        <v>38244295.525990754</v>
      </c>
    </row>
    <row r="55" spans="1:7" x14ac:dyDescent="0.25">
      <c r="B55" s="236" t="s">
        <v>121</v>
      </c>
      <c r="C55" s="46" t="s">
        <v>121</v>
      </c>
      <c r="D55" s="46" t="s">
        <v>121</v>
      </c>
      <c r="E55" s="46" t="s">
        <v>121</v>
      </c>
      <c r="F55" s="46" t="s">
        <v>121</v>
      </c>
      <c r="G55" s="46" t="s">
        <v>121</v>
      </c>
    </row>
    <row r="56" spans="1:7" ht="30" x14ac:dyDescent="0.25">
      <c r="A56" s="166" t="s">
        <v>391</v>
      </c>
      <c r="B56" s="237">
        <f>+B52+B54</f>
        <v>36246487.640000001</v>
      </c>
      <c r="C56" s="233">
        <f>SUM(C52:C55)</f>
        <v>35111851.488200001</v>
      </c>
      <c r="D56" s="233">
        <f>SUM(D52:D55)</f>
        <v>35436650.163374007</v>
      </c>
      <c r="E56" s="233">
        <f>SUM(E52:E55)</f>
        <v>36288084.454897895</v>
      </c>
      <c r="F56" s="233">
        <f>SUM(F52:F55)</f>
        <v>38244295.525990754</v>
      </c>
      <c r="G56" s="233">
        <f>SUM(G52:G55)</f>
        <v>40062632.081098281</v>
      </c>
    </row>
    <row r="57" spans="1:7" x14ac:dyDescent="0.25">
      <c r="B57" s="46" t="s">
        <v>134</v>
      </c>
      <c r="C57" s="46" t="s">
        <v>134</v>
      </c>
      <c r="D57" s="46" t="s">
        <v>134</v>
      </c>
      <c r="E57" s="46" t="s">
        <v>134</v>
      </c>
      <c r="F57" s="46" t="s">
        <v>134</v>
      </c>
      <c r="G57" s="46" t="s">
        <v>134</v>
      </c>
    </row>
    <row r="58" spans="1:7" x14ac:dyDescent="0.25">
      <c r="C58" s="42"/>
      <c r="D58" s="42"/>
      <c r="E58" s="42"/>
      <c r="F58" s="42"/>
      <c r="G58" s="42"/>
    </row>
    <row r="59" spans="1:7" x14ac:dyDescent="0.25">
      <c r="A59" s="1" t="s">
        <v>401</v>
      </c>
      <c r="B59" s="196">
        <f>-SUM('Expenses by Object'!C107:C109)</f>
        <v>-456842.06</v>
      </c>
      <c r="C59" s="196">
        <f>-'Debt Service'!B8</f>
        <v>-700079.55</v>
      </c>
      <c r="D59" s="196">
        <f>-'Debt Service'!C8</f>
        <v>-1122815.0650000002</v>
      </c>
      <c r="E59" s="196">
        <f>-'Debt Service'!D8</f>
        <v>-1181712.5</v>
      </c>
      <c r="F59" s="196">
        <f>-'Debt Service'!E8</f>
        <v>-1143887.5</v>
      </c>
      <c r="G59" s="196">
        <f>-'Debt Service'!F8</f>
        <v>-1105000</v>
      </c>
    </row>
    <row r="60" spans="1:7" x14ac:dyDescent="0.25">
      <c r="A60" s="1" t="s">
        <v>402</v>
      </c>
      <c r="B60" s="196">
        <f>-'Bond Principal'!C11-'Bond Principal'!J11</f>
        <v>-580000</v>
      </c>
      <c r="C60" s="196">
        <f>-'Bond Principal'!C12-'Bond Principal'!J12</f>
        <v>-680000</v>
      </c>
      <c r="D60" s="196">
        <f>-'Bond Principal'!C13-'Bond Principal'!J13</f>
        <v>-1235000</v>
      </c>
      <c r="E60" s="196">
        <f>-'Bond Principal'!C14-'Bond Principal'!J14</f>
        <v>-890000</v>
      </c>
      <c r="F60" s="196">
        <f>-'Bond Principal'!C15-'Bond Principal'!J15</f>
        <v>-915000</v>
      </c>
      <c r="G60" s="196">
        <f>-'Bond Principal'!C16-'Bond Principal'!J16</f>
        <v>-945000</v>
      </c>
    </row>
    <row r="61" spans="1:7" x14ac:dyDescent="0.25">
      <c r="B61" s="196"/>
      <c r="C61" s="196"/>
      <c r="D61" s="196"/>
      <c r="E61" s="196"/>
      <c r="F61" s="196"/>
      <c r="G61" s="196"/>
    </row>
    <row r="62" spans="1:7" x14ac:dyDescent="0.25">
      <c r="B62" s="167"/>
      <c r="C62" s="42"/>
      <c r="D62" s="42"/>
      <c r="E62" s="42"/>
      <c r="F62" s="42"/>
      <c r="G62" s="42"/>
    </row>
    <row r="63" spans="1:7" ht="15.75" thickBot="1" x14ac:dyDescent="0.3">
      <c r="A63" s="1" t="s">
        <v>403</v>
      </c>
      <c r="B63" s="170">
        <f>SUM(B52+SUM(B59:B61))</f>
        <v>44336.579999997281</v>
      </c>
      <c r="C63" s="170">
        <f t="shared" ref="C63:G63" si="7">SUM(C52+SUM(C59:C61))</f>
        <v>-2514715.7017999985</v>
      </c>
      <c r="D63" s="170">
        <f t="shared" si="7"/>
        <v>-2033016.3898259935</v>
      </c>
      <c r="E63" s="170">
        <f t="shared" si="7"/>
        <v>-1220278.2084761097</v>
      </c>
      <c r="F63" s="170">
        <f t="shared" si="7"/>
        <v>-102676.42890713946</v>
      </c>
      <c r="G63" s="170">
        <f t="shared" si="7"/>
        <v>-231663.44489247189</v>
      </c>
    </row>
    <row r="64" spans="1:7" x14ac:dyDescent="0.25">
      <c r="B64" s="167"/>
    </row>
    <row r="65" spans="1:7" x14ac:dyDescent="0.25">
      <c r="B65" s="167"/>
    </row>
    <row r="66" spans="1:7" x14ac:dyDescent="0.25">
      <c r="B66" s="167"/>
    </row>
    <row r="67" spans="1:7" x14ac:dyDescent="0.25">
      <c r="A67" s="252" t="s">
        <v>451</v>
      </c>
      <c r="B67" s="253">
        <f>+B52+B59</f>
        <v>624336.57999999728</v>
      </c>
      <c r="C67" s="253">
        <f t="shared" ref="C67:G67" si="8">+C52+C59</f>
        <v>-1834715.7017999985</v>
      </c>
      <c r="D67" s="253">
        <f t="shared" si="8"/>
        <v>-798016.38982599322</v>
      </c>
      <c r="E67" s="253">
        <f t="shared" si="8"/>
        <v>-330278.20847610966</v>
      </c>
      <c r="F67" s="253">
        <f t="shared" si="8"/>
        <v>812323.57109286054</v>
      </c>
      <c r="G67" s="253">
        <f t="shared" si="8"/>
        <v>713336.55510752811</v>
      </c>
    </row>
    <row r="68" spans="1:7" x14ac:dyDescent="0.25">
      <c r="A68" s="1" t="s">
        <v>398</v>
      </c>
      <c r="B68" s="167">
        <v>624339</v>
      </c>
    </row>
    <row r="69" spans="1:7" x14ac:dyDescent="0.25">
      <c r="B69" s="167"/>
    </row>
    <row r="70" spans="1:7" x14ac:dyDescent="0.25">
      <c r="A70" s="24" t="s">
        <v>399</v>
      </c>
      <c r="B70" s="167">
        <f>+B67-B68</f>
        <v>-2.4200000027194619</v>
      </c>
      <c r="C70" s="32" t="s">
        <v>400</v>
      </c>
    </row>
  </sheetData>
  <mergeCells count="1">
    <mergeCell ref="C3:F3"/>
  </mergeCells>
  <printOptions gridLines="1"/>
  <pageMargins left="0.75" right="0.25" top="0.25" bottom="0.5" header="0.5" footer="0.5"/>
  <pageSetup scale="90" orientation="landscape" r:id="rId1"/>
  <headerFooter alignWithMargins="0">
    <oddFooter>&amp;L&amp;Z&amp;F&amp;F&amp;A</oddFooter>
  </headerFooter>
  <rowBreaks count="1" manualBreakCount="1">
    <brk id="116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L8" sqref="L8"/>
    </sheetView>
  </sheetViews>
  <sheetFormatPr defaultRowHeight="12.75" x14ac:dyDescent="0.2"/>
  <cols>
    <col min="1" max="1" width="26.28515625" customWidth="1"/>
    <col min="3" max="3" width="10.85546875" customWidth="1"/>
  </cols>
  <sheetData>
    <row r="1" spans="1:12" s="218" customFormat="1" ht="24" customHeight="1" x14ac:dyDescent="0.25">
      <c r="A1" s="272" t="s">
        <v>468</v>
      </c>
      <c r="B1" s="272"/>
      <c r="C1" s="272"/>
      <c r="D1" s="272"/>
      <c r="E1" s="272"/>
      <c r="F1" s="272"/>
      <c r="G1" s="272"/>
      <c r="H1" s="272"/>
      <c r="I1" s="272"/>
    </row>
    <row r="2" spans="1:12" x14ac:dyDescent="0.2">
      <c r="A2" s="218"/>
      <c r="B2" s="256" t="s">
        <v>290</v>
      </c>
      <c r="C2" s="256" t="s">
        <v>461</v>
      </c>
      <c r="D2" s="256" t="s">
        <v>393</v>
      </c>
      <c r="E2" s="256" t="s">
        <v>394</v>
      </c>
      <c r="F2" s="256" t="s">
        <v>407</v>
      </c>
      <c r="G2" s="256" t="s">
        <v>462</v>
      </c>
      <c r="H2" s="257" t="s">
        <v>422</v>
      </c>
      <c r="I2" s="257" t="s">
        <v>463</v>
      </c>
    </row>
    <row r="3" spans="1:12" s="219" customFormat="1" x14ac:dyDescent="0.2">
      <c r="A3" s="270" t="s">
        <v>466</v>
      </c>
      <c r="B3" s="261">
        <v>1025</v>
      </c>
      <c r="C3" s="262">
        <v>910</v>
      </c>
      <c r="D3" s="261">
        <v>1100</v>
      </c>
      <c r="E3" s="262">
        <v>975</v>
      </c>
      <c r="F3" s="261">
        <v>1150</v>
      </c>
      <c r="G3" s="262">
        <v>1015</v>
      </c>
      <c r="H3" s="262">
        <v>1160</v>
      </c>
      <c r="I3" s="262">
        <v>1075</v>
      </c>
    </row>
    <row r="4" spans="1:12" x14ac:dyDescent="0.2">
      <c r="A4" s="258" t="s">
        <v>411</v>
      </c>
      <c r="B4" s="259">
        <v>50</v>
      </c>
      <c r="C4" s="260">
        <v>50</v>
      </c>
      <c r="D4" s="259">
        <v>50</v>
      </c>
      <c r="E4" s="260">
        <v>50</v>
      </c>
      <c r="F4" s="261">
        <v>50</v>
      </c>
      <c r="G4" s="262">
        <v>50</v>
      </c>
      <c r="H4" s="262">
        <v>50</v>
      </c>
      <c r="I4" s="262">
        <v>50</v>
      </c>
    </row>
    <row r="5" spans="1:12" x14ac:dyDescent="0.2">
      <c r="A5" s="258"/>
      <c r="B5" s="259"/>
      <c r="C5" s="260"/>
      <c r="D5" s="259"/>
      <c r="E5" s="260"/>
      <c r="F5" s="259"/>
      <c r="G5" s="262"/>
      <c r="H5" s="258"/>
      <c r="I5" s="258"/>
    </row>
    <row r="6" spans="1:12" x14ac:dyDescent="0.2">
      <c r="A6" s="258" t="s">
        <v>261</v>
      </c>
      <c r="B6" s="259">
        <v>80</v>
      </c>
      <c r="C6" s="260">
        <v>75</v>
      </c>
      <c r="D6" s="259">
        <v>80</v>
      </c>
      <c r="E6" s="260">
        <v>75</v>
      </c>
      <c r="F6" s="259">
        <v>75</v>
      </c>
      <c r="G6" s="262">
        <v>70</v>
      </c>
      <c r="H6" s="262">
        <v>80</v>
      </c>
      <c r="I6" s="260">
        <v>75</v>
      </c>
    </row>
    <row r="7" spans="1:12" x14ac:dyDescent="0.2">
      <c r="A7" s="258" t="s">
        <v>262</v>
      </c>
      <c r="B7" s="259">
        <v>370</v>
      </c>
      <c r="C7" s="260">
        <v>355</v>
      </c>
      <c r="D7" s="259">
        <v>355</v>
      </c>
      <c r="E7" s="260">
        <v>370</v>
      </c>
      <c r="F7" s="259">
        <v>410</v>
      </c>
      <c r="G7" s="262">
        <v>375</v>
      </c>
      <c r="H7" s="262">
        <v>375</v>
      </c>
      <c r="I7" s="260">
        <v>360</v>
      </c>
    </row>
    <row r="8" spans="1:12" x14ac:dyDescent="0.2">
      <c r="A8" s="258"/>
      <c r="B8" s="259"/>
      <c r="C8" s="260"/>
      <c r="D8" s="259"/>
      <c r="E8" s="260"/>
      <c r="F8" s="259"/>
      <c r="G8" s="262"/>
      <c r="H8" s="262"/>
      <c r="I8" s="260"/>
    </row>
    <row r="9" spans="1:12" s="219" customFormat="1" x14ac:dyDescent="0.2">
      <c r="A9" s="270" t="s">
        <v>467</v>
      </c>
      <c r="B9" s="261">
        <v>160</v>
      </c>
      <c r="C9" s="262">
        <v>170</v>
      </c>
      <c r="D9" s="261">
        <v>200</v>
      </c>
      <c r="E9" s="262">
        <v>225</v>
      </c>
      <c r="F9" s="261">
        <v>250</v>
      </c>
      <c r="G9" s="262">
        <v>265</v>
      </c>
      <c r="H9" s="262">
        <v>325</v>
      </c>
      <c r="I9" s="262">
        <v>325</v>
      </c>
      <c r="L9"/>
    </row>
    <row r="10" spans="1:12" x14ac:dyDescent="0.2">
      <c r="A10" s="258" t="s">
        <v>410</v>
      </c>
      <c r="B10" s="259">
        <v>60</v>
      </c>
      <c r="C10" s="260">
        <v>65</v>
      </c>
      <c r="D10" s="259">
        <v>90</v>
      </c>
      <c r="E10" s="260">
        <v>95</v>
      </c>
      <c r="F10" s="259">
        <v>120</v>
      </c>
      <c r="G10" s="262">
        <v>115</v>
      </c>
      <c r="H10" s="262">
        <v>145</v>
      </c>
      <c r="I10" s="262">
        <v>130</v>
      </c>
    </row>
    <row r="11" spans="1:12" x14ac:dyDescent="0.2">
      <c r="A11" s="258"/>
      <c r="B11" s="259"/>
      <c r="C11" s="260"/>
      <c r="D11" s="259"/>
      <c r="E11" s="260"/>
      <c r="F11" s="259"/>
      <c r="G11" s="262"/>
      <c r="H11" s="258"/>
      <c r="I11" s="258"/>
    </row>
    <row r="12" spans="1:12" x14ac:dyDescent="0.2">
      <c r="A12" s="258" t="s">
        <v>263</v>
      </c>
      <c r="B12" s="259">
        <v>95</v>
      </c>
      <c r="C12" s="260">
        <v>100</v>
      </c>
      <c r="D12" s="259">
        <v>120</v>
      </c>
      <c r="E12" s="260">
        <v>110</v>
      </c>
      <c r="F12" s="259">
        <v>115</v>
      </c>
      <c r="G12" s="262">
        <v>115</v>
      </c>
      <c r="H12" s="262">
        <v>125</v>
      </c>
      <c r="I12" s="262">
        <v>120</v>
      </c>
    </row>
    <row r="13" spans="1:12" x14ac:dyDescent="0.2">
      <c r="A13" s="258" t="s">
        <v>266</v>
      </c>
      <c r="B13" s="259">
        <v>37</v>
      </c>
      <c r="C13" s="260">
        <v>25</v>
      </c>
      <c r="D13" s="259">
        <v>34</v>
      </c>
      <c r="E13" s="260">
        <v>27</v>
      </c>
      <c r="F13" s="259">
        <v>50</v>
      </c>
      <c r="G13" s="262">
        <v>45</v>
      </c>
      <c r="H13" s="262">
        <v>45</v>
      </c>
      <c r="I13" s="262">
        <v>35</v>
      </c>
    </row>
    <row r="14" spans="1:12" x14ac:dyDescent="0.2">
      <c r="A14" s="258" t="s">
        <v>267</v>
      </c>
      <c r="B14" s="259">
        <v>47</v>
      </c>
      <c r="C14" s="260">
        <v>35</v>
      </c>
      <c r="D14" s="259">
        <v>40</v>
      </c>
      <c r="E14" s="260">
        <v>35</v>
      </c>
      <c r="F14" s="259">
        <v>50</v>
      </c>
      <c r="G14" s="262">
        <v>45</v>
      </c>
      <c r="H14" s="262">
        <v>45</v>
      </c>
      <c r="I14" s="262">
        <v>35</v>
      </c>
    </row>
    <row r="15" spans="1:12" x14ac:dyDescent="0.2">
      <c r="A15" s="263" t="s">
        <v>464</v>
      </c>
      <c r="B15" s="259">
        <v>45</v>
      </c>
      <c r="C15" s="260">
        <v>60</v>
      </c>
      <c r="D15" s="259">
        <v>85</v>
      </c>
      <c r="E15" s="260">
        <v>85</v>
      </c>
      <c r="F15" s="259">
        <v>105</v>
      </c>
      <c r="G15" s="262">
        <v>95</v>
      </c>
      <c r="H15" s="262">
        <v>140</v>
      </c>
      <c r="I15" s="262">
        <v>150</v>
      </c>
    </row>
    <row r="16" spans="1:12" x14ac:dyDescent="0.2">
      <c r="A16" s="258"/>
      <c r="B16" s="259"/>
      <c r="C16" s="260"/>
      <c r="D16" s="259"/>
      <c r="E16" s="260"/>
      <c r="F16" s="259"/>
      <c r="G16" s="262"/>
      <c r="H16" s="258"/>
      <c r="I16" s="258"/>
    </row>
    <row r="17" spans="1:9" x14ac:dyDescent="0.2">
      <c r="A17" s="258"/>
      <c r="B17" s="259"/>
      <c r="C17" s="260"/>
      <c r="D17" s="259"/>
      <c r="E17" s="260"/>
      <c r="F17" s="259"/>
      <c r="G17" s="262"/>
      <c r="H17" s="258"/>
      <c r="I17" s="258"/>
    </row>
    <row r="18" spans="1:9" x14ac:dyDescent="0.2">
      <c r="A18" s="258" t="s">
        <v>187</v>
      </c>
      <c r="B18" s="259">
        <v>345</v>
      </c>
      <c r="C18" s="260">
        <v>350</v>
      </c>
      <c r="D18" s="259">
        <v>350</v>
      </c>
      <c r="E18" s="260">
        <v>370</v>
      </c>
      <c r="F18" s="259">
        <v>380</v>
      </c>
      <c r="G18" s="262">
        <v>385</v>
      </c>
      <c r="H18" s="258">
        <v>410</v>
      </c>
      <c r="I18" s="258">
        <v>390</v>
      </c>
    </row>
    <row r="19" spans="1:9" x14ac:dyDescent="0.2">
      <c r="A19" s="264"/>
      <c r="B19" s="265"/>
      <c r="C19" s="266"/>
      <c r="D19" s="265"/>
      <c r="E19" s="266"/>
      <c r="F19" s="265"/>
      <c r="G19" s="267"/>
      <c r="H19" s="264"/>
      <c r="I19" s="264"/>
    </row>
    <row r="20" spans="1:9" ht="13.5" thickBot="1" x14ac:dyDescent="0.25">
      <c r="A20" s="268" t="s">
        <v>465</v>
      </c>
      <c r="B20" s="269">
        <f t="shared" ref="B20:I20" si="0">SUM(B3:B19)</f>
        <v>2314</v>
      </c>
      <c r="C20" s="269">
        <f t="shared" si="0"/>
        <v>2195</v>
      </c>
      <c r="D20" s="269">
        <f t="shared" si="0"/>
        <v>2504</v>
      </c>
      <c r="E20" s="269">
        <f t="shared" si="0"/>
        <v>2417</v>
      </c>
      <c r="F20" s="269">
        <f t="shared" si="0"/>
        <v>2755</v>
      </c>
      <c r="G20" s="269">
        <f t="shared" si="0"/>
        <v>2575</v>
      </c>
      <c r="H20" s="269">
        <f t="shared" si="0"/>
        <v>2900</v>
      </c>
      <c r="I20" s="269">
        <f t="shared" si="0"/>
        <v>2745</v>
      </c>
    </row>
    <row r="21" spans="1:9" ht="13.5" thickTop="1" x14ac:dyDescent="0.2"/>
  </sheetData>
  <mergeCells count="1">
    <mergeCell ref="A1:I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49"/>
  <sheetViews>
    <sheetView workbookViewId="0">
      <selection activeCell="D23" sqref="D23:D24"/>
    </sheetView>
  </sheetViews>
  <sheetFormatPr defaultColWidth="8.85546875" defaultRowHeight="12.75" x14ac:dyDescent="0.2"/>
  <cols>
    <col min="1" max="1" width="19.42578125" bestFit="1" customWidth="1"/>
    <col min="2" max="9" width="12.28515625" customWidth="1"/>
    <col min="10" max="10" width="24.5703125" customWidth="1"/>
    <col min="11" max="11" width="12.28515625" customWidth="1"/>
  </cols>
  <sheetData>
    <row r="2" spans="1:11" x14ac:dyDescent="0.2">
      <c r="B2" s="218" t="s">
        <v>292</v>
      </c>
      <c r="C2" s="218" t="s">
        <v>293</v>
      </c>
      <c r="D2" s="218" t="s">
        <v>294</v>
      </c>
      <c r="E2" s="218" t="s">
        <v>295</v>
      </c>
      <c r="F2" s="218" t="s">
        <v>405</v>
      </c>
      <c r="G2" s="218" t="s">
        <v>406</v>
      </c>
      <c r="H2" s="218" t="s">
        <v>407</v>
      </c>
      <c r="I2" s="218" t="s">
        <v>408</v>
      </c>
      <c r="J2" t="s">
        <v>422</v>
      </c>
      <c r="K2" t="s">
        <v>423</v>
      </c>
    </row>
    <row r="3" spans="1:11" x14ac:dyDescent="0.2">
      <c r="A3" t="s">
        <v>186</v>
      </c>
      <c r="B3" s="219">
        <v>296</v>
      </c>
      <c r="C3" s="219">
        <v>95</v>
      </c>
      <c r="D3" s="219">
        <v>375</v>
      </c>
      <c r="E3" s="219">
        <v>80</v>
      </c>
      <c r="F3" s="219">
        <v>375</v>
      </c>
      <c r="G3" s="219">
        <v>80</v>
      </c>
      <c r="H3" s="219">
        <v>375</v>
      </c>
      <c r="I3" s="219">
        <v>80</v>
      </c>
      <c r="J3" s="219">
        <v>375</v>
      </c>
      <c r="K3" s="219">
        <v>80</v>
      </c>
    </row>
    <row r="4" spans="1:11" x14ac:dyDescent="0.2"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x14ac:dyDescent="0.2">
      <c r="A5" t="s">
        <v>261</v>
      </c>
      <c r="B5" s="219">
        <v>20</v>
      </c>
      <c r="C5" s="219">
        <v>20</v>
      </c>
      <c r="D5" s="219">
        <v>25</v>
      </c>
      <c r="E5" s="219">
        <v>20</v>
      </c>
      <c r="F5" s="219">
        <v>30</v>
      </c>
      <c r="G5" s="219">
        <v>20</v>
      </c>
      <c r="H5" s="219">
        <v>30</v>
      </c>
      <c r="I5" s="219">
        <v>20</v>
      </c>
      <c r="J5" s="219">
        <v>50</v>
      </c>
      <c r="K5" s="219">
        <v>25</v>
      </c>
    </row>
    <row r="6" spans="1:11" x14ac:dyDescent="0.2">
      <c r="A6" t="s">
        <v>262</v>
      </c>
      <c r="B6" s="219">
        <v>71</v>
      </c>
      <c r="C6" s="219">
        <v>75</v>
      </c>
      <c r="D6" s="219">
        <v>150</v>
      </c>
      <c r="E6" s="219">
        <v>100</v>
      </c>
      <c r="F6" s="219">
        <v>150</v>
      </c>
      <c r="G6" s="219">
        <v>125</v>
      </c>
      <c r="H6" s="219">
        <v>175</v>
      </c>
      <c r="I6" s="219">
        <v>125</v>
      </c>
      <c r="J6" s="219">
        <v>150</v>
      </c>
      <c r="K6" s="219">
        <v>125</v>
      </c>
    </row>
    <row r="7" spans="1:11" x14ac:dyDescent="0.2">
      <c r="A7" s="131" t="s">
        <v>409</v>
      </c>
      <c r="B7" s="219">
        <v>31</v>
      </c>
      <c r="C7" s="219">
        <v>50</v>
      </c>
      <c r="D7" s="219">
        <v>125</v>
      </c>
      <c r="E7" s="219">
        <v>75</v>
      </c>
      <c r="F7" s="219">
        <v>150</v>
      </c>
      <c r="G7" s="219">
        <v>125</v>
      </c>
      <c r="H7" s="219">
        <v>150</v>
      </c>
      <c r="I7" s="219">
        <v>125</v>
      </c>
      <c r="J7" s="219">
        <v>175</v>
      </c>
      <c r="K7" s="219">
        <v>125</v>
      </c>
    </row>
    <row r="8" spans="1:11" x14ac:dyDescent="0.2">
      <c r="A8" s="131" t="s">
        <v>410</v>
      </c>
      <c r="B8" s="219">
        <v>10</v>
      </c>
      <c r="C8" s="219">
        <v>20</v>
      </c>
      <c r="D8" s="219">
        <v>40</v>
      </c>
      <c r="E8" s="219">
        <v>30</v>
      </c>
      <c r="F8" s="219">
        <v>50</v>
      </c>
      <c r="G8" s="219">
        <v>30</v>
      </c>
      <c r="H8" s="219">
        <v>60</v>
      </c>
      <c r="I8" s="219">
        <v>35</v>
      </c>
      <c r="J8" s="219">
        <v>75</v>
      </c>
      <c r="K8" s="219">
        <v>35</v>
      </c>
    </row>
    <row r="9" spans="1:11" x14ac:dyDescent="0.2"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x14ac:dyDescent="0.2">
      <c r="A10" t="s">
        <v>263</v>
      </c>
      <c r="B10" s="219">
        <v>5</v>
      </c>
      <c r="C10" s="219">
        <v>25</v>
      </c>
      <c r="D10" s="219">
        <v>40</v>
      </c>
      <c r="E10" s="219">
        <v>30</v>
      </c>
      <c r="F10" s="219">
        <v>50</v>
      </c>
      <c r="G10" s="219">
        <v>30</v>
      </c>
      <c r="H10" s="219">
        <v>40</v>
      </c>
      <c r="I10" s="219">
        <v>40</v>
      </c>
      <c r="J10" s="219">
        <v>50</v>
      </c>
      <c r="K10" s="219">
        <v>40</v>
      </c>
    </row>
    <row r="11" spans="1:11" x14ac:dyDescent="0.2">
      <c r="A11" t="s">
        <v>266</v>
      </c>
      <c r="B11" s="219">
        <v>4</v>
      </c>
      <c r="C11" s="219">
        <v>5</v>
      </c>
      <c r="D11" s="219">
        <v>20</v>
      </c>
      <c r="E11" s="219">
        <v>0</v>
      </c>
      <c r="F11" s="219">
        <v>30</v>
      </c>
      <c r="G11" s="219">
        <v>10</v>
      </c>
      <c r="H11" s="219">
        <v>25</v>
      </c>
      <c r="I11" s="219">
        <v>5</v>
      </c>
      <c r="J11" s="219">
        <v>25</v>
      </c>
      <c r="K11" s="219">
        <v>10</v>
      </c>
    </row>
    <row r="12" spans="1:11" x14ac:dyDescent="0.2">
      <c r="A12" t="s">
        <v>267</v>
      </c>
      <c r="B12" s="219">
        <v>24</v>
      </c>
      <c r="C12" s="219">
        <v>5</v>
      </c>
      <c r="D12" s="219">
        <v>25</v>
      </c>
      <c r="E12" s="219">
        <v>0</v>
      </c>
      <c r="F12" s="219">
        <v>30</v>
      </c>
      <c r="G12" s="219">
        <v>10</v>
      </c>
      <c r="H12" s="219">
        <v>25</v>
      </c>
      <c r="I12" s="219">
        <v>10</v>
      </c>
      <c r="J12" s="219">
        <v>25</v>
      </c>
      <c r="K12" s="219">
        <v>10</v>
      </c>
    </row>
    <row r="13" spans="1:11" x14ac:dyDescent="0.2">
      <c r="A13" t="s">
        <v>268</v>
      </c>
      <c r="B13" s="219">
        <v>4</v>
      </c>
      <c r="C13" s="219">
        <v>20</v>
      </c>
      <c r="D13" s="219">
        <v>25</v>
      </c>
      <c r="E13" s="219">
        <v>30</v>
      </c>
      <c r="F13" s="219">
        <v>50</v>
      </c>
      <c r="G13" s="219">
        <v>30</v>
      </c>
      <c r="H13" s="219">
        <v>50</v>
      </c>
      <c r="I13" s="219">
        <v>30</v>
      </c>
      <c r="J13" s="219">
        <v>75</v>
      </c>
      <c r="K13" s="219">
        <v>50</v>
      </c>
    </row>
    <row r="14" spans="1:11" x14ac:dyDescent="0.2">
      <c r="B14" s="219"/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11" x14ac:dyDescent="0.2">
      <c r="A15" t="s">
        <v>187</v>
      </c>
      <c r="B15" s="219">
        <v>100</v>
      </c>
      <c r="C15" s="219">
        <v>80</v>
      </c>
      <c r="D15" s="219">
        <v>150</v>
      </c>
      <c r="E15" s="219">
        <v>100</v>
      </c>
      <c r="F15" s="219">
        <v>150</v>
      </c>
      <c r="G15" s="219">
        <v>125</v>
      </c>
      <c r="H15" s="219">
        <v>175</v>
      </c>
      <c r="I15" s="219">
        <v>125</v>
      </c>
      <c r="J15" s="219">
        <v>175</v>
      </c>
      <c r="K15" s="219">
        <v>125</v>
      </c>
    </row>
    <row r="17" spans="1:11" ht="13.5" thickBot="1" x14ac:dyDescent="0.25">
      <c r="A17" s="142" t="s">
        <v>296</v>
      </c>
      <c r="C17" s="218" t="s">
        <v>297</v>
      </c>
      <c r="D17" s="218" t="s">
        <v>298</v>
      </c>
      <c r="E17" s="218" t="s">
        <v>404</v>
      </c>
      <c r="F17" s="220" t="s">
        <v>412</v>
      </c>
      <c r="G17" s="131" t="s">
        <v>424</v>
      </c>
    </row>
    <row r="18" spans="1:11" ht="13.5" thickBot="1" x14ac:dyDescent="0.25">
      <c r="B18" s="131" t="s">
        <v>300</v>
      </c>
      <c r="C18" s="219">
        <f>+B3+C3</f>
        <v>391</v>
      </c>
      <c r="D18" s="219">
        <f>+D3+E3</f>
        <v>455</v>
      </c>
      <c r="E18" s="219">
        <f>+F3+G3</f>
        <v>455</v>
      </c>
      <c r="F18" s="219">
        <f>+H3+I3</f>
        <v>455</v>
      </c>
      <c r="G18" s="219">
        <f>+J3+K3</f>
        <v>455</v>
      </c>
      <c r="H18" s="143">
        <v>0.1</v>
      </c>
      <c r="I18" t="s">
        <v>299</v>
      </c>
    </row>
    <row r="19" spans="1:11" x14ac:dyDescent="0.2">
      <c r="B19" s="131" t="s">
        <v>301</v>
      </c>
      <c r="C19" s="238">
        <v>300</v>
      </c>
      <c r="D19" s="238">
        <f>+C19*(1+$H$18)</f>
        <v>330</v>
      </c>
      <c r="E19" s="238">
        <f>+D19*(1+$H$18)</f>
        <v>363.00000000000006</v>
      </c>
      <c r="F19" s="238">
        <f>+E19*(1+$H$18)</f>
        <v>399.30000000000007</v>
      </c>
      <c r="G19" s="238">
        <f>+F19*(1+$H$18)</f>
        <v>439.23000000000013</v>
      </c>
    </row>
    <row r="20" spans="1:11" ht="42.75" x14ac:dyDescent="0.2">
      <c r="B20" s="131" t="s">
        <v>302</v>
      </c>
      <c r="C20" s="239">
        <f>+C18*C19</f>
        <v>117300</v>
      </c>
      <c r="D20" s="239">
        <f>+D18*D19</f>
        <v>150150</v>
      </c>
      <c r="E20" s="239">
        <f>+E18*E19</f>
        <v>165165.00000000003</v>
      </c>
      <c r="F20" s="239">
        <f>+F18*F19</f>
        <v>181681.50000000003</v>
      </c>
      <c r="G20" s="239">
        <f>+G18*G19</f>
        <v>199849.65000000005</v>
      </c>
      <c r="J20" s="213" t="s">
        <v>425</v>
      </c>
      <c r="K20" s="212" t="s">
        <v>442</v>
      </c>
    </row>
    <row r="21" spans="1:11" ht="15" x14ac:dyDescent="0.25">
      <c r="C21" s="219"/>
      <c r="D21" s="219"/>
      <c r="E21" s="219"/>
      <c r="F21" s="219"/>
      <c r="G21" s="219"/>
      <c r="J21" s="211" t="s">
        <v>426</v>
      </c>
      <c r="K21" s="216">
        <v>287</v>
      </c>
    </row>
    <row r="22" spans="1:11" ht="15" x14ac:dyDescent="0.25">
      <c r="A22" s="142" t="s">
        <v>303</v>
      </c>
      <c r="C22" s="219" t="s">
        <v>297</v>
      </c>
      <c r="D22" s="219" t="s">
        <v>298</v>
      </c>
      <c r="E22" s="219" t="s">
        <v>404</v>
      </c>
      <c r="F22" s="240" t="s">
        <v>412</v>
      </c>
      <c r="G22" s="240" t="s">
        <v>424</v>
      </c>
      <c r="J22" s="211" t="s">
        <v>411</v>
      </c>
      <c r="K22" s="216">
        <v>9</v>
      </c>
    </row>
    <row r="23" spans="1:11" ht="15.75" thickBot="1" x14ac:dyDescent="0.3">
      <c r="B23" s="131" t="s">
        <v>300</v>
      </c>
      <c r="C23" s="219">
        <f>+SUM(B5:C6)</f>
        <v>186</v>
      </c>
      <c r="D23" s="219">
        <f>+SUM(D5:E6)</f>
        <v>295</v>
      </c>
      <c r="E23" s="219">
        <f>+SUM(F5:G6)</f>
        <v>325</v>
      </c>
      <c r="F23" s="219">
        <f>+SUM(H5:I6)</f>
        <v>350</v>
      </c>
      <c r="G23" s="219">
        <f>+SUM(J5:K6)</f>
        <v>350</v>
      </c>
      <c r="J23" s="211" t="s">
        <v>427</v>
      </c>
      <c r="K23" s="214"/>
    </row>
    <row r="24" spans="1:11" ht="15.75" thickBot="1" x14ac:dyDescent="0.3">
      <c r="B24" s="131" t="s">
        <v>301</v>
      </c>
      <c r="C24" s="238">
        <v>100</v>
      </c>
      <c r="D24" s="238">
        <f>+C24*(1+$H$24)</f>
        <v>110.00000000000001</v>
      </c>
      <c r="E24" s="238">
        <f>+D24*(1+$H$24)</f>
        <v>121.00000000000003</v>
      </c>
      <c r="F24" s="238">
        <f>+E24*(1+$H$24)</f>
        <v>133.10000000000005</v>
      </c>
      <c r="G24" s="238">
        <f>+F24*(1+$H$24)</f>
        <v>146.41000000000008</v>
      </c>
      <c r="H24" s="143">
        <v>0.1</v>
      </c>
      <c r="I24" t="s">
        <v>299</v>
      </c>
      <c r="J24" s="211" t="s">
        <v>428</v>
      </c>
      <c r="K24" s="214"/>
    </row>
    <row r="25" spans="1:11" ht="15" x14ac:dyDescent="0.25">
      <c r="B25" s="131" t="s">
        <v>302</v>
      </c>
      <c r="C25" s="239">
        <f>+C24*C23</f>
        <v>18600</v>
      </c>
      <c r="D25" s="239">
        <f>+D24*D23</f>
        <v>32450.000000000004</v>
      </c>
      <c r="E25" s="239">
        <f>+E24*E23</f>
        <v>39325.000000000007</v>
      </c>
      <c r="F25" s="239">
        <f>+F24*F23</f>
        <v>46585.000000000015</v>
      </c>
      <c r="G25" s="239">
        <f>+G24*G23</f>
        <v>51243.500000000029</v>
      </c>
      <c r="J25" s="211" t="s">
        <v>429</v>
      </c>
      <c r="K25" s="216">
        <v>3</v>
      </c>
    </row>
    <row r="26" spans="1:11" ht="15" x14ac:dyDescent="0.25">
      <c r="C26" s="219"/>
      <c r="D26" s="219"/>
      <c r="E26" s="219"/>
      <c r="F26" s="219"/>
      <c r="G26" s="219"/>
      <c r="J26" s="211" t="s">
        <v>430</v>
      </c>
      <c r="K26" s="216">
        <v>2</v>
      </c>
    </row>
    <row r="27" spans="1:11" ht="15" x14ac:dyDescent="0.25">
      <c r="A27" s="142" t="s">
        <v>413</v>
      </c>
      <c r="C27" s="219" t="s">
        <v>297</v>
      </c>
      <c r="D27" s="219" t="s">
        <v>298</v>
      </c>
      <c r="E27" s="219" t="s">
        <v>404</v>
      </c>
      <c r="F27" s="240" t="s">
        <v>412</v>
      </c>
      <c r="G27" s="240" t="s">
        <v>424</v>
      </c>
      <c r="J27" s="211" t="s">
        <v>266</v>
      </c>
      <c r="K27" s="216">
        <v>4</v>
      </c>
    </row>
    <row r="28" spans="1:11" ht="15.75" thickBot="1" x14ac:dyDescent="0.3">
      <c r="B28" s="131" t="s">
        <v>300</v>
      </c>
      <c r="C28" s="219">
        <f>+SUM(B7:C8)</f>
        <v>111</v>
      </c>
      <c r="D28" s="219">
        <f>+SUM(D7:E8)</f>
        <v>270</v>
      </c>
      <c r="E28" s="219">
        <f>+SUM(F7:G8)</f>
        <v>355</v>
      </c>
      <c r="F28" s="219">
        <f>+SUM(H7:I8)</f>
        <v>370</v>
      </c>
      <c r="G28" s="219">
        <f>+SUM(J7:K8)</f>
        <v>410</v>
      </c>
      <c r="J28" s="211" t="s">
        <v>431</v>
      </c>
      <c r="K28" s="216">
        <v>28</v>
      </c>
    </row>
    <row r="29" spans="1:11" ht="15.75" thickBot="1" x14ac:dyDescent="0.3">
      <c r="B29" s="131" t="s">
        <v>301</v>
      </c>
      <c r="C29" s="238">
        <v>100</v>
      </c>
      <c r="D29" s="238">
        <f>+C29*(1+$H$24)</f>
        <v>110.00000000000001</v>
      </c>
      <c r="E29" s="238">
        <f>+D29*(1+$H$24)</f>
        <v>121.00000000000003</v>
      </c>
      <c r="F29" s="238">
        <f>+E29*(1+$H$24)</f>
        <v>133.10000000000005</v>
      </c>
      <c r="G29" s="238">
        <f>+F29*(1+$H$24)</f>
        <v>146.41000000000008</v>
      </c>
      <c r="H29" s="143">
        <v>0.1</v>
      </c>
      <c r="I29" t="s">
        <v>299</v>
      </c>
      <c r="J29" s="211" t="s">
        <v>432</v>
      </c>
      <c r="K29" s="216">
        <v>20</v>
      </c>
    </row>
    <row r="30" spans="1:11" ht="15" x14ac:dyDescent="0.25">
      <c r="B30" s="131" t="s">
        <v>302</v>
      </c>
      <c r="C30" s="239">
        <f>+C29*C28</f>
        <v>11100</v>
      </c>
      <c r="D30" s="239">
        <f>+D29*D28</f>
        <v>29700.000000000004</v>
      </c>
      <c r="E30" s="239">
        <f>+E29*E28</f>
        <v>42955.000000000007</v>
      </c>
      <c r="F30" s="239">
        <f>+F29*F28</f>
        <v>49247.000000000022</v>
      </c>
      <c r="G30" s="239">
        <f>+G29*G28</f>
        <v>60028.100000000035</v>
      </c>
      <c r="J30" s="211" t="s">
        <v>433</v>
      </c>
      <c r="K30" s="216">
        <v>71</v>
      </c>
    </row>
    <row r="31" spans="1:11" ht="15" x14ac:dyDescent="0.25">
      <c r="C31" s="219"/>
      <c r="D31" s="219"/>
      <c r="E31" s="219"/>
      <c r="F31" s="219"/>
      <c r="G31" s="219"/>
      <c r="J31" s="211" t="s">
        <v>434</v>
      </c>
      <c r="K31" s="214"/>
    </row>
    <row r="32" spans="1:11" ht="15" x14ac:dyDescent="0.25">
      <c r="A32" s="142" t="s">
        <v>304</v>
      </c>
      <c r="C32" s="219" t="s">
        <v>297</v>
      </c>
      <c r="D32" s="219" t="s">
        <v>298</v>
      </c>
      <c r="E32" s="219" t="s">
        <v>404</v>
      </c>
      <c r="F32" s="240" t="s">
        <v>412</v>
      </c>
      <c r="G32" s="240" t="s">
        <v>424</v>
      </c>
      <c r="J32" s="211" t="s">
        <v>435</v>
      </c>
      <c r="K32" s="214"/>
    </row>
    <row r="33" spans="1:11" ht="15.75" thickBot="1" x14ac:dyDescent="0.3">
      <c r="B33" s="131" t="s">
        <v>300</v>
      </c>
      <c r="C33" s="219">
        <f>+B15+C15</f>
        <v>180</v>
      </c>
      <c r="D33" s="219">
        <f>+D15+E15</f>
        <v>250</v>
      </c>
      <c r="E33" s="219">
        <f>+F15+G15</f>
        <v>275</v>
      </c>
      <c r="F33" s="219">
        <f>+H15+I15</f>
        <v>300</v>
      </c>
      <c r="G33" s="219">
        <f>+J15+K15</f>
        <v>300</v>
      </c>
      <c r="J33" s="211" t="s">
        <v>436</v>
      </c>
      <c r="K33" s="216">
        <v>31</v>
      </c>
    </row>
    <row r="34" spans="1:11" ht="15.75" thickBot="1" x14ac:dyDescent="0.3">
      <c r="B34" s="131" t="s">
        <v>301</v>
      </c>
      <c r="C34" s="238">
        <v>100</v>
      </c>
      <c r="D34" s="238">
        <f>+C34*(1+$H$34)</f>
        <v>110.00000000000001</v>
      </c>
      <c r="E34" s="238">
        <f>+D34*(1+$H$34)</f>
        <v>121.00000000000003</v>
      </c>
      <c r="F34" s="238">
        <f>+E34*(1+$H$34)</f>
        <v>133.10000000000005</v>
      </c>
      <c r="G34" s="238">
        <f>+F34*(1+$H$34)</f>
        <v>146.41000000000008</v>
      </c>
      <c r="H34" s="143">
        <v>0.1</v>
      </c>
      <c r="I34" t="s">
        <v>299</v>
      </c>
      <c r="J34" s="209" t="s">
        <v>410</v>
      </c>
      <c r="K34" s="216">
        <v>10</v>
      </c>
    </row>
    <row r="35" spans="1:11" ht="15" x14ac:dyDescent="0.25">
      <c r="B35" s="131" t="s">
        <v>302</v>
      </c>
      <c r="C35" s="238">
        <f>+C34*C33</f>
        <v>18000</v>
      </c>
      <c r="D35" s="238">
        <f>+D34*C33:C33</f>
        <v>19800.000000000004</v>
      </c>
      <c r="E35" s="238">
        <f>+E34*E33:E33</f>
        <v>33275.000000000007</v>
      </c>
      <c r="F35" s="238">
        <f>+F34*F33:F33</f>
        <v>39930.000000000015</v>
      </c>
      <c r="G35" s="238">
        <f>+G34*G33:G33</f>
        <v>43923.000000000022</v>
      </c>
      <c r="J35" s="209" t="s">
        <v>437</v>
      </c>
      <c r="K35" s="214"/>
    </row>
    <row r="36" spans="1:11" ht="15" x14ac:dyDescent="0.25">
      <c r="C36" s="219"/>
      <c r="D36" s="219"/>
      <c r="E36" s="219"/>
      <c r="F36" s="219"/>
      <c r="G36" s="219"/>
      <c r="J36" s="211" t="s">
        <v>438</v>
      </c>
      <c r="K36" s="216">
        <v>100</v>
      </c>
    </row>
    <row r="37" spans="1:11" ht="14.25" x14ac:dyDescent="0.2">
      <c r="A37" s="142" t="s">
        <v>305</v>
      </c>
      <c r="C37" s="219" t="s">
        <v>297</v>
      </c>
      <c r="D37" s="219" t="s">
        <v>298</v>
      </c>
      <c r="E37" s="219" t="s">
        <v>404</v>
      </c>
      <c r="F37" s="240" t="s">
        <v>412</v>
      </c>
      <c r="G37" s="240" t="s">
        <v>424</v>
      </c>
      <c r="J37" s="211" t="s">
        <v>439</v>
      </c>
    </row>
    <row r="38" spans="1:11" ht="15" thickBot="1" x14ac:dyDescent="0.25">
      <c r="B38" s="131" t="s">
        <v>300</v>
      </c>
      <c r="C38" s="219">
        <f>+SUM(B10:C13)</f>
        <v>92</v>
      </c>
      <c r="D38" s="219">
        <f>+SUM(D10:E13)</f>
        <v>170</v>
      </c>
      <c r="E38" s="219">
        <f>+SUM(F10:G13)</f>
        <v>240</v>
      </c>
      <c r="F38" s="219">
        <f>+SUM(H10:I13)</f>
        <v>225</v>
      </c>
      <c r="G38" s="219">
        <f>+SUM(J10:K13)</f>
        <v>285</v>
      </c>
      <c r="J38" s="211" t="s">
        <v>440</v>
      </c>
    </row>
    <row r="39" spans="1:11" ht="15" thickBot="1" x14ac:dyDescent="0.25">
      <c r="B39" s="131" t="s">
        <v>301</v>
      </c>
      <c r="C39" s="238">
        <v>100</v>
      </c>
      <c r="D39" s="238">
        <f>+C39*(1+$H$34)</f>
        <v>110.00000000000001</v>
      </c>
      <c r="E39" s="238">
        <f>+D39*(1+$H$34)</f>
        <v>121.00000000000003</v>
      </c>
      <c r="F39" s="238">
        <f>+E39*(1+$H$34)</f>
        <v>133.10000000000005</v>
      </c>
      <c r="G39" s="238">
        <f>+F39*(1+$H$34)</f>
        <v>146.41000000000008</v>
      </c>
      <c r="H39" s="143">
        <v>0.1</v>
      </c>
      <c r="I39" t="s">
        <v>299</v>
      </c>
      <c r="J39" s="211" t="s">
        <v>441</v>
      </c>
    </row>
    <row r="40" spans="1:11" x14ac:dyDescent="0.2">
      <c r="B40" s="131" t="s">
        <v>302</v>
      </c>
      <c r="C40" s="239">
        <f>+C39*C38</f>
        <v>9200</v>
      </c>
      <c r="D40" s="239">
        <f t="shared" ref="D40:G40" si="0">+D39*D38</f>
        <v>18700.000000000004</v>
      </c>
      <c r="E40" s="239">
        <f t="shared" si="0"/>
        <v>29040.000000000007</v>
      </c>
      <c r="F40" s="239">
        <f t="shared" si="0"/>
        <v>29947.500000000011</v>
      </c>
      <c r="G40" s="239">
        <f t="shared" si="0"/>
        <v>41726.85000000002</v>
      </c>
    </row>
    <row r="41" spans="1:11" x14ac:dyDescent="0.2">
      <c r="C41" s="219"/>
      <c r="D41" s="219"/>
      <c r="E41" s="219"/>
      <c r="F41" s="219"/>
      <c r="G41" s="219"/>
    </row>
    <row r="46" spans="1:11" x14ac:dyDescent="0.2">
      <c r="B46" s="144"/>
      <c r="C46" s="144"/>
      <c r="D46" s="144"/>
      <c r="E46" s="144"/>
      <c r="F46" s="144"/>
      <c r="G46" s="145"/>
      <c r="H46" s="145"/>
      <c r="I46" s="144"/>
      <c r="J46" s="146"/>
      <c r="K46" s="146"/>
    </row>
    <row r="47" spans="1:11" x14ac:dyDescent="0.2">
      <c r="B47" s="144"/>
      <c r="C47" s="144"/>
      <c r="D47" s="144"/>
      <c r="E47" s="144"/>
      <c r="F47" s="144"/>
      <c r="G47" s="145"/>
      <c r="H47" s="145"/>
      <c r="I47" s="144"/>
      <c r="J47" s="146"/>
      <c r="K47" s="146"/>
    </row>
    <row r="48" spans="1:11" x14ac:dyDescent="0.2">
      <c r="B48" s="144"/>
      <c r="C48" s="144"/>
      <c r="D48" s="144"/>
      <c r="E48" s="144"/>
      <c r="F48" s="144"/>
      <c r="G48" s="145"/>
      <c r="H48" s="145"/>
      <c r="I48" s="144"/>
      <c r="J48" s="146"/>
      <c r="K48" s="146"/>
    </row>
    <row r="49" spans="2:11" x14ac:dyDescent="0.2">
      <c r="B49" s="144"/>
      <c r="C49" s="144"/>
      <c r="D49" s="144"/>
      <c r="E49" s="144"/>
      <c r="F49" s="144"/>
      <c r="G49" s="145"/>
      <c r="H49" s="145"/>
      <c r="I49" s="144"/>
      <c r="J49" s="146"/>
      <c r="K49" s="146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5" sqref="D5"/>
    </sheetView>
  </sheetViews>
  <sheetFormatPr defaultColWidth="8.85546875" defaultRowHeight="15" x14ac:dyDescent="0.25"/>
  <cols>
    <col min="1" max="1" width="52.7109375" style="1" bestFit="1" customWidth="1"/>
    <col min="2" max="2" width="13.42578125" style="1" customWidth="1"/>
    <col min="3" max="3" width="9.42578125" style="1" customWidth="1"/>
    <col min="4" max="4" width="12.7109375" style="1" customWidth="1"/>
    <col min="5" max="8" width="11.42578125" style="1" bestFit="1" customWidth="1"/>
    <col min="9" max="16384" width="8.85546875" style="1"/>
  </cols>
  <sheetData>
    <row r="1" spans="1:8" x14ac:dyDescent="0.25">
      <c r="B1" s="34" t="s">
        <v>116</v>
      </c>
      <c r="C1" s="101"/>
      <c r="D1" s="70" t="s">
        <v>109</v>
      </c>
      <c r="E1" s="70" t="s">
        <v>109</v>
      </c>
      <c r="F1" s="70" t="s">
        <v>109</v>
      </c>
      <c r="G1" s="70" t="s">
        <v>109</v>
      </c>
      <c r="H1" s="70" t="s">
        <v>109</v>
      </c>
    </row>
    <row r="2" spans="1:8" x14ac:dyDescent="0.25">
      <c r="B2" s="74">
        <v>42185</v>
      </c>
      <c r="C2" s="102"/>
      <c r="D2" s="70" t="s">
        <v>104</v>
      </c>
      <c r="E2" s="70" t="s">
        <v>105</v>
      </c>
      <c r="F2" s="70" t="s">
        <v>106</v>
      </c>
      <c r="G2" s="70" t="s">
        <v>107</v>
      </c>
      <c r="H2" s="70" t="s">
        <v>108</v>
      </c>
    </row>
    <row r="3" spans="1:8" x14ac:dyDescent="0.25">
      <c r="C3" s="42"/>
    </row>
    <row r="4" spans="1:8" x14ac:dyDescent="0.25">
      <c r="A4" s="52" t="s">
        <v>198</v>
      </c>
      <c r="B4" s="42"/>
      <c r="C4" s="42"/>
    </row>
    <row r="5" spans="1:8" x14ac:dyDescent="0.25">
      <c r="A5" s="99" t="s">
        <v>136</v>
      </c>
      <c r="B5" s="192">
        <v>20971845</v>
      </c>
      <c r="C5" s="45"/>
      <c r="D5" s="41">
        <f>+'Tuition Revenue'!B67</f>
        <v>20155370</v>
      </c>
      <c r="E5" s="41">
        <f>+'Tuition Revenue'!C67</f>
        <v>22075834.5</v>
      </c>
      <c r="F5" s="41">
        <f>+'Tuition Revenue'!D67</f>
        <v>24146775</v>
      </c>
      <c r="G5" s="41">
        <f>+'Tuition Revenue'!E67</f>
        <v>25698550</v>
      </c>
      <c r="H5" s="41">
        <f>+'Tuition Revenue'!F67</f>
        <v>27059145</v>
      </c>
    </row>
    <row r="6" spans="1:8" x14ac:dyDescent="0.25">
      <c r="A6" s="99" t="s">
        <v>245</v>
      </c>
      <c r="B6" s="192"/>
      <c r="C6" s="45"/>
      <c r="D6" s="41">
        <v>0</v>
      </c>
      <c r="E6" s="41">
        <v>0</v>
      </c>
      <c r="F6" s="41">
        <v>0</v>
      </c>
      <c r="G6" s="41">
        <v>0</v>
      </c>
      <c r="H6" s="41">
        <v>0</v>
      </c>
    </row>
    <row r="7" spans="1:8" x14ac:dyDescent="0.25">
      <c r="A7" s="99" t="s">
        <v>139</v>
      </c>
      <c r="B7" s="192">
        <v>4042301.58</v>
      </c>
      <c r="C7" s="45"/>
      <c r="D7" s="41">
        <f>+'Tuition Revenue'!B69</f>
        <v>3037500</v>
      </c>
      <c r="E7" s="41">
        <f>+'Tuition Revenue'!C69</f>
        <v>2994975</v>
      </c>
      <c r="F7" s="41">
        <f>+'Tuition Revenue'!D69</f>
        <v>3055875</v>
      </c>
      <c r="G7" s="41">
        <f>+'Tuition Revenue'!E69</f>
        <v>3373537.5</v>
      </c>
      <c r="H7" s="41">
        <f>+'Tuition Revenue'!F69</f>
        <v>3219300</v>
      </c>
    </row>
    <row r="8" spans="1:8" x14ac:dyDescent="0.25">
      <c r="A8" s="99" t="s">
        <v>246</v>
      </c>
      <c r="B8" s="192">
        <v>293770.98</v>
      </c>
      <c r="C8" s="45"/>
      <c r="D8" s="41">
        <f>+'Tuition Revenue'!B68</f>
        <v>284690</v>
      </c>
      <c r="E8" s="41">
        <f>+'Tuition Revenue'!C68</f>
        <v>271141.5</v>
      </c>
      <c r="F8" s="41">
        <f>+'Tuition Revenue'!D68</f>
        <v>276675</v>
      </c>
      <c r="G8" s="41">
        <f>+'Tuition Revenue'!E68</f>
        <v>263900</v>
      </c>
      <c r="H8" s="41">
        <f>+'Tuition Revenue'!F68</f>
        <v>287525</v>
      </c>
    </row>
    <row r="9" spans="1:8" x14ac:dyDescent="0.25">
      <c r="A9" s="99" t="s">
        <v>247</v>
      </c>
      <c r="B9" s="192">
        <v>0</v>
      </c>
      <c r="C9" s="45"/>
      <c r="D9" s="41">
        <f>SUM('Tuition Revenue'!B72:B75)</f>
        <v>2357975</v>
      </c>
      <c r="E9" s="41">
        <f>SUM('Tuition Revenue'!C72:C75)</f>
        <v>3030399.6</v>
      </c>
      <c r="F9" s="41">
        <f>SUM('Tuition Revenue'!D72:D75)</f>
        <v>3626547</v>
      </c>
      <c r="G9" s="41">
        <f>SUM('Tuition Revenue'!E72:E75)</f>
        <v>4343575</v>
      </c>
      <c r="H9" s="41">
        <f>SUM('Tuition Revenue'!F72:F75)</f>
        <v>4746655</v>
      </c>
    </row>
    <row r="10" spans="1:8" x14ac:dyDescent="0.25">
      <c r="A10" s="99" t="s">
        <v>140</v>
      </c>
      <c r="B10" s="192">
        <v>1638494.02</v>
      </c>
      <c r="C10" s="45"/>
      <c r="D10" s="41">
        <f>+'Tuition Revenue'!B70</f>
        <v>1262170</v>
      </c>
      <c r="E10" s="41">
        <f>+'Tuition Revenue'!C70</f>
        <v>1597167.0000000002</v>
      </c>
      <c r="F10" s="41">
        <f>+'Tuition Revenue'!D70</f>
        <v>2096737.5</v>
      </c>
      <c r="G10" s="41">
        <f>+'Tuition Revenue'!E70</f>
        <v>2590965</v>
      </c>
      <c r="H10" s="41">
        <f>+'Tuition Revenue'!F70</f>
        <v>3333525</v>
      </c>
    </row>
    <row r="11" spans="1:8" x14ac:dyDescent="0.25">
      <c r="A11" s="99" t="s">
        <v>248</v>
      </c>
      <c r="B11" s="192">
        <v>564223.93999999994</v>
      </c>
      <c r="C11" s="45"/>
      <c r="D11" s="41">
        <f>+'Tuition Revenue'!B71</f>
        <v>531300</v>
      </c>
      <c r="E11" s="41">
        <f>+'Tuition Revenue'!C71</f>
        <v>736312.5</v>
      </c>
      <c r="F11" s="41">
        <f>+'Tuition Revenue'!D71</f>
        <v>1111387.5</v>
      </c>
      <c r="G11" s="41">
        <f>+'Tuition Revenue'!E71</f>
        <v>1439962.5</v>
      </c>
      <c r="H11" s="41">
        <f>+'Tuition Revenue'!F71</f>
        <v>1718062.5</v>
      </c>
    </row>
    <row r="12" spans="1:8" x14ac:dyDescent="0.25">
      <c r="A12" s="99" t="s">
        <v>249</v>
      </c>
      <c r="B12" s="192">
        <v>4290</v>
      </c>
      <c r="C12" s="45"/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x14ac:dyDescent="0.25">
      <c r="A13" s="99" t="s">
        <v>141</v>
      </c>
      <c r="B13" s="192">
        <v>3618961.84</v>
      </c>
      <c r="C13" s="45"/>
      <c r="D13" s="41">
        <f>+'Tuition Revenue'!B76</f>
        <v>3030960</v>
      </c>
      <c r="E13" s="41">
        <f>+'Tuition Revenue'!C76</f>
        <v>3104982.0000000005</v>
      </c>
      <c r="F13" s="41">
        <f>+'Tuition Revenue'!D76</f>
        <v>3278880</v>
      </c>
      <c r="G13" s="41">
        <f>+'Tuition Revenue'!E76</f>
        <v>3552660</v>
      </c>
      <c r="H13" s="41">
        <f>+'Tuition Revenue'!F76</f>
        <v>3787200</v>
      </c>
    </row>
    <row r="14" spans="1:8" x14ac:dyDescent="0.25">
      <c r="A14" s="99" t="s">
        <v>252</v>
      </c>
      <c r="B14" s="192">
        <v>17160</v>
      </c>
      <c r="C14" s="45"/>
      <c r="D14" s="41">
        <v>0</v>
      </c>
      <c r="E14" s="41">
        <v>0</v>
      </c>
      <c r="F14" s="41">
        <v>0</v>
      </c>
      <c r="G14" s="41">
        <v>0</v>
      </c>
      <c r="H14" s="41">
        <v>0</v>
      </c>
    </row>
    <row r="15" spans="1:8" x14ac:dyDescent="0.25">
      <c r="A15" s="99" t="s">
        <v>142</v>
      </c>
      <c r="B15" s="192">
        <v>1564893</v>
      </c>
      <c r="C15" s="45"/>
      <c r="D15" s="41">
        <f>+'Tuition Revenue'!B86</f>
        <v>1500000</v>
      </c>
      <c r="E15" s="41">
        <f>+'Tuition Revenue'!C86</f>
        <v>1500000</v>
      </c>
      <c r="F15" s="41">
        <f>+'Tuition Revenue'!D86</f>
        <v>1500000</v>
      </c>
      <c r="G15" s="41">
        <f>+'Tuition Revenue'!E86</f>
        <v>1500000</v>
      </c>
      <c r="H15" s="41">
        <f>+'Tuition Revenue'!F86</f>
        <v>1500000</v>
      </c>
    </row>
    <row r="16" spans="1:8" x14ac:dyDescent="0.25">
      <c r="A16" s="99" t="s">
        <v>444</v>
      </c>
      <c r="B16" s="192">
        <v>2400</v>
      </c>
      <c r="C16" s="45"/>
      <c r="D16" s="41"/>
      <c r="E16" s="41"/>
      <c r="F16" s="41"/>
      <c r="G16" s="41"/>
      <c r="H16" s="41"/>
    </row>
    <row r="17" spans="1:10" x14ac:dyDescent="0.25">
      <c r="A17" s="99" t="s">
        <v>281</v>
      </c>
      <c r="B17" s="192">
        <v>497835</v>
      </c>
      <c r="C17" s="45"/>
      <c r="D17" s="41"/>
      <c r="E17" s="41"/>
      <c r="F17" s="41"/>
      <c r="G17" s="41"/>
      <c r="H17" s="41"/>
    </row>
    <row r="18" spans="1:10" x14ac:dyDescent="0.25">
      <c r="A18" s="99" t="s">
        <v>282</v>
      </c>
      <c r="B18" s="192">
        <v>1519990.93</v>
      </c>
      <c r="C18" s="45"/>
      <c r="D18" s="41"/>
      <c r="E18" s="41"/>
      <c r="F18" s="41"/>
      <c r="G18" s="41"/>
      <c r="H18" s="41"/>
    </row>
    <row r="19" spans="1:10" x14ac:dyDescent="0.25">
      <c r="A19" s="99" t="s">
        <v>272</v>
      </c>
      <c r="B19" s="192"/>
      <c r="C19" s="45"/>
      <c r="D19" s="41">
        <f>+'Tuition Revenue'!B80+'Tuition Revenue'!B83</f>
        <v>2663691.5</v>
      </c>
      <c r="E19" s="41">
        <f>+'Tuition Revenue'!C80+'Tuition Revenue'!C83</f>
        <v>2663691.5</v>
      </c>
      <c r="F19" s="41">
        <f>+'Tuition Revenue'!D80+'Tuition Revenue'!D83</f>
        <v>2663691.5</v>
      </c>
      <c r="G19" s="41">
        <f>+'Tuition Revenue'!E80+'Tuition Revenue'!E83</f>
        <v>2663691.5</v>
      </c>
      <c r="H19" s="41">
        <f>+'Tuition Revenue'!F80+'Tuition Revenue'!F83</f>
        <v>2663691.5</v>
      </c>
    </row>
    <row r="20" spans="1:10" x14ac:dyDescent="0.25">
      <c r="A20" s="99"/>
      <c r="B20" s="192"/>
      <c r="C20" s="45"/>
      <c r="D20" s="4"/>
      <c r="E20" s="4"/>
      <c r="F20" s="4"/>
      <c r="G20" s="4"/>
      <c r="H20" s="4"/>
    </row>
    <row r="21" spans="1:10" x14ac:dyDescent="0.25">
      <c r="B21" s="48">
        <f>SUM(B5:B19)</f>
        <v>34736166.289999999</v>
      </c>
      <c r="C21" s="45"/>
      <c r="D21" s="73">
        <f>SUM(D5:D19)</f>
        <v>34823656.5</v>
      </c>
      <c r="E21" s="73">
        <f>SUM(E5:E19)</f>
        <v>37974503.600000001</v>
      </c>
      <c r="F21" s="73">
        <f>SUM(F5:F19)</f>
        <v>41756568.5</v>
      </c>
      <c r="G21" s="73">
        <f>SUM(G5:G19)</f>
        <v>45426841.5</v>
      </c>
      <c r="H21" s="73">
        <f>SUM(H5:H19)</f>
        <v>48315104</v>
      </c>
    </row>
    <row r="22" spans="1:10" s="42" customFormat="1" x14ac:dyDescent="0.25">
      <c r="B22" s="48"/>
      <c r="C22" s="45"/>
      <c r="D22" s="100"/>
      <c r="E22" s="100"/>
      <c r="F22" s="100"/>
      <c r="G22" s="100"/>
      <c r="H22" s="100"/>
    </row>
    <row r="23" spans="1:10" s="42" customFormat="1" x14ac:dyDescent="0.25">
      <c r="B23" s="48"/>
      <c r="C23" s="45"/>
      <c r="D23" s="100"/>
      <c r="E23" s="100"/>
      <c r="F23" s="100"/>
      <c r="G23" s="100"/>
      <c r="H23" s="100"/>
    </row>
    <row r="24" spans="1:10" x14ac:dyDescent="0.25">
      <c r="B24" s="46"/>
      <c r="C24" s="18"/>
    </row>
    <row r="25" spans="1:10" x14ac:dyDescent="0.25">
      <c r="A25" s="42"/>
      <c r="B25" s="42"/>
      <c r="C25" s="70"/>
      <c r="D25" s="70" t="s">
        <v>109</v>
      </c>
      <c r="E25" s="70" t="s">
        <v>109</v>
      </c>
      <c r="F25" s="70" t="s">
        <v>109</v>
      </c>
      <c r="G25" s="70" t="s">
        <v>109</v>
      </c>
      <c r="H25" s="70" t="s">
        <v>109</v>
      </c>
    </row>
    <row r="26" spans="1:10" x14ac:dyDescent="0.25">
      <c r="A26" s="42"/>
      <c r="B26" s="42"/>
      <c r="C26" s="70"/>
      <c r="D26" s="70" t="s">
        <v>414</v>
      </c>
      <c r="E26" s="70" t="s">
        <v>105</v>
      </c>
      <c r="F26" s="70" t="s">
        <v>106</v>
      </c>
      <c r="G26" s="70" t="s">
        <v>107</v>
      </c>
      <c r="H26" s="70" t="s">
        <v>108</v>
      </c>
    </row>
    <row r="27" spans="1:10" x14ac:dyDescent="0.25">
      <c r="B27" s="42"/>
      <c r="C27" s="35" t="s">
        <v>110</v>
      </c>
      <c r="D27" s="8">
        <v>0.02</v>
      </c>
      <c r="E27" s="103">
        <v>0.02</v>
      </c>
      <c r="F27" s="103">
        <v>0.02</v>
      </c>
      <c r="G27" s="103">
        <v>0.02</v>
      </c>
      <c r="H27" s="103">
        <v>0.02</v>
      </c>
      <c r="J27" s="171" t="s">
        <v>415</v>
      </c>
    </row>
    <row r="28" spans="1:10" x14ac:dyDescent="0.25">
      <c r="A28" s="1" t="s">
        <v>113</v>
      </c>
      <c r="B28" s="42"/>
      <c r="C28" s="75"/>
      <c r="D28" s="104"/>
      <c r="E28" s="105"/>
      <c r="F28" s="105"/>
      <c r="G28" s="105"/>
      <c r="H28" s="105"/>
    </row>
    <row r="29" spans="1:10" x14ac:dyDescent="0.25">
      <c r="B29" s="42"/>
      <c r="C29" s="75"/>
      <c r="D29" s="104"/>
      <c r="E29" s="105"/>
      <c r="F29" s="105"/>
      <c r="G29" s="105"/>
      <c r="H29" s="105"/>
    </row>
    <row r="30" spans="1:10" x14ac:dyDescent="0.25">
      <c r="A30" s="99" t="s">
        <v>135</v>
      </c>
      <c r="B30" s="192">
        <v>38058.639999999999</v>
      </c>
      <c r="D30" s="31">
        <v>40000</v>
      </c>
      <c r="E30" s="31">
        <f>+D30*(1+E27)</f>
        <v>40800</v>
      </c>
      <c r="F30" s="31">
        <f>+E30*(1+F27)</f>
        <v>41616</v>
      </c>
      <c r="G30" s="31">
        <f>+F30*(1+G27)</f>
        <v>42448.32</v>
      </c>
      <c r="H30" s="31">
        <f>+G30*(1+H27)</f>
        <v>43297.286399999997</v>
      </c>
    </row>
    <row r="31" spans="1:10" x14ac:dyDescent="0.25">
      <c r="A31" s="99" t="s">
        <v>199</v>
      </c>
      <c r="B31" s="192">
        <v>3840</v>
      </c>
      <c r="D31" s="31">
        <v>2000</v>
      </c>
      <c r="E31" s="31">
        <f>+D31</f>
        <v>2000</v>
      </c>
      <c r="F31" s="31">
        <f>+E31</f>
        <v>2000</v>
      </c>
      <c r="G31" s="31">
        <f>+F31</f>
        <v>2000</v>
      </c>
      <c r="H31" s="31">
        <f>+G31</f>
        <v>2000</v>
      </c>
    </row>
    <row r="32" spans="1:10" x14ac:dyDescent="0.25">
      <c r="A32" s="99" t="s">
        <v>273</v>
      </c>
      <c r="B32" s="192">
        <v>124200</v>
      </c>
      <c r="D32" s="31">
        <v>129600</v>
      </c>
      <c r="E32" s="31">
        <f>+'New Students - Enrlmt Fees'!D20</f>
        <v>150150</v>
      </c>
      <c r="F32" s="31">
        <f>+'New Students - Enrlmt Fees'!E20</f>
        <v>165165.00000000003</v>
      </c>
      <c r="G32" s="31">
        <f>+'New Students - Enrlmt Fees'!F20</f>
        <v>181681.50000000003</v>
      </c>
      <c r="H32" s="31">
        <f>+'New Students - Enrlmt Fees'!G20</f>
        <v>199849.65000000005</v>
      </c>
    </row>
    <row r="33" spans="1:8" x14ac:dyDescent="0.25">
      <c r="A33" s="99" t="s">
        <v>137</v>
      </c>
      <c r="B33" s="192">
        <v>14750</v>
      </c>
      <c r="D33" s="31">
        <v>22500</v>
      </c>
      <c r="E33" s="31">
        <f>+D33*(1+E27)</f>
        <v>22950</v>
      </c>
      <c r="F33" s="31">
        <f>+E33*(1+F27)</f>
        <v>23409</v>
      </c>
      <c r="G33" s="31">
        <f>+F33*(1+G27)</f>
        <v>23877.18</v>
      </c>
      <c r="H33" s="31">
        <f>+G33*(1+H27)</f>
        <v>24354.723600000001</v>
      </c>
    </row>
    <row r="34" spans="1:8" x14ac:dyDescent="0.25">
      <c r="A34" s="99" t="s">
        <v>138</v>
      </c>
      <c r="B34" s="192">
        <v>152320</v>
      </c>
      <c r="D34" s="31">
        <v>150000</v>
      </c>
      <c r="E34" s="31">
        <f>150*'Tuition Revenue'!D20</f>
        <v>311250</v>
      </c>
      <c r="F34" s="31">
        <f>150*'Tuition Revenue'!E20</f>
        <v>324750</v>
      </c>
      <c r="G34" s="31">
        <f>150*'Tuition Revenue'!F20</f>
        <v>335250</v>
      </c>
      <c r="H34" s="31">
        <f>150*'Tuition Revenue'!G20</f>
        <v>0</v>
      </c>
    </row>
    <row r="35" spans="1:8" x14ac:dyDescent="0.25">
      <c r="A35" s="99" t="s">
        <v>7</v>
      </c>
      <c r="B35" s="192">
        <v>42375</v>
      </c>
      <c r="D35" s="31">
        <v>40000</v>
      </c>
      <c r="E35" s="31">
        <f>+D35*(1+E27)</f>
        <v>40800</v>
      </c>
      <c r="F35" s="31">
        <f>+E35*(1+F27)</f>
        <v>41616</v>
      </c>
      <c r="G35" s="31">
        <f>+F35*(1+G27)</f>
        <v>42448.32</v>
      </c>
      <c r="H35" s="31">
        <f>+G35*(1+H27)</f>
        <v>43297.286399999997</v>
      </c>
    </row>
    <row r="36" spans="1:8" x14ac:dyDescent="0.25">
      <c r="A36" s="99" t="s">
        <v>9</v>
      </c>
      <c r="B36" s="192">
        <v>4900</v>
      </c>
      <c r="D36" s="31">
        <v>7500</v>
      </c>
      <c r="E36" s="31">
        <f>+D36*(1+E27)</f>
        <v>7650</v>
      </c>
      <c r="F36" s="31">
        <f>+E36*(1+F27)</f>
        <v>7803</v>
      </c>
      <c r="G36" s="31">
        <f>+F36*(1+G27)</f>
        <v>7959.06</v>
      </c>
      <c r="H36" s="31">
        <f>+G36*(1+H27)</f>
        <v>8118.2412000000004</v>
      </c>
    </row>
    <row r="37" spans="1:8" x14ac:dyDescent="0.25">
      <c r="A37" s="99" t="s">
        <v>274</v>
      </c>
      <c r="B37" s="192">
        <v>22574</v>
      </c>
      <c r="D37" s="31">
        <f>+'New Students - Enrlmt Fees'!C25+'New Students - Enrlmt Fees'!C30</f>
        <v>29700</v>
      </c>
      <c r="E37" s="31">
        <f>+'New Students - Enrlmt Fees'!D25+'New Students - Enrlmt Fees'!D30</f>
        <v>62150.000000000007</v>
      </c>
      <c r="F37" s="31">
        <f>+'New Students - Enrlmt Fees'!E25+'New Students - Enrlmt Fees'!E30</f>
        <v>82280.000000000015</v>
      </c>
      <c r="G37" s="31">
        <f>+'New Students - Enrlmt Fees'!F25+'New Students - Enrlmt Fees'!F30</f>
        <v>95832.000000000029</v>
      </c>
      <c r="H37" s="31">
        <f>+'New Students - Enrlmt Fees'!G25+'New Students - Enrlmt Fees'!G30</f>
        <v>111271.60000000006</v>
      </c>
    </row>
    <row r="38" spans="1:8" x14ac:dyDescent="0.25">
      <c r="A38" s="99" t="s">
        <v>5</v>
      </c>
      <c r="B38" s="192">
        <v>0</v>
      </c>
      <c r="D38" s="31">
        <v>0</v>
      </c>
      <c r="E38" s="31">
        <f>+D38*(1+E27)</f>
        <v>0</v>
      </c>
      <c r="F38" s="31">
        <f>+E38*(1+F27)</f>
        <v>0</v>
      </c>
      <c r="G38" s="31">
        <f>+F38*(1+G27)</f>
        <v>0</v>
      </c>
      <c r="H38" s="31">
        <f>+G38*(1+H27)</f>
        <v>0</v>
      </c>
    </row>
    <row r="39" spans="1:8" x14ac:dyDescent="0.25">
      <c r="A39" s="99" t="s">
        <v>8</v>
      </c>
      <c r="B39" s="192">
        <v>2550</v>
      </c>
      <c r="D39" s="31">
        <v>0</v>
      </c>
      <c r="E39" s="31">
        <f>+D39*(1+E27)</f>
        <v>0</v>
      </c>
      <c r="F39" s="31">
        <f>+E39*(1+F27)</f>
        <v>0</v>
      </c>
      <c r="G39" s="31">
        <f>+F39*(1+G27)</f>
        <v>0</v>
      </c>
      <c r="H39" s="31">
        <f>+G39*(1+H27)</f>
        <v>0</v>
      </c>
    </row>
    <row r="40" spans="1:8" x14ac:dyDescent="0.25">
      <c r="A40" s="99" t="s">
        <v>250</v>
      </c>
      <c r="B40" s="192">
        <v>22</v>
      </c>
      <c r="D40" s="31">
        <v>0</v>
      </c>
      <c r="E40" s="31">
        <f>+D40*(1+E27)</f>
        <v>0</v>
      </c>
      <c r="F40" s="31">
        <f>+E40*(1+F27)</f>
        <v>0</v>
      </c>
      <c r="G40" s="31">
        <f>+F40*(1+G27)</f>
        <v>0</v>
      </c>
      <c r="H40" s="31">
        <f>+G40*(1+H27)</f>
        <v>0</v>
      </c>
    </row>
    <row r="41" spans="1:8" x14ac:dyDescent="0.25">
      <c r="A41" s="99" t="s">
        <v>251</v>
      </c>
      <c r="B41" s="192">
        <v>0</v>
      </c>
      <c r="D41" s="31">
        <v>0</v>
      </c>
      <c r="E41" s="31">
        <f>+D41*(1+E27)</f>
        <v>0</v>
      </c>
      <c r="F41" s="31">
        <f>+E41*(1+F27)</f>
        <v>0</v>
      </c>
      <c r="G41" s="31">
        <f>+F41*(1+G27)</f>
        <v>0</v>
      </c>
      <c r="H41" s="31">
        <f>+G41*(1+H27)</f>
        <v>0</v>
      </c>
    </row>
    <row r="42" spans="1:8" x14ac:dyDescent="0.25">
      <c r="A42" s="99" t="s">
        <v>10</v>
      </c>
      <c r="B42" s="192">
        <v>17700</v>
      </c>
      <c r="D42" s="31">
        <f>+'New Students - Enrlmt Fees'!C35</f>
        <v>18000</v>
      </c>
      <c r="E42" s="31">
        <f>+'New Students - Enrlmt Fees'!D35</f>
        <v>19800.000000000004</v>
      </c>
      <c r="F42" s="31">
        <f>+'New Students - Enrlmt Fees'!E35</f>
        <v>33275.000000000007</v>
      </c>
      <c r="G42" s="31">
        <f>+'New Students - Enrlmt Fees'!F35</f>
        <v>39930.000000000015</v>
      </c>
      <c r="H42" s="31">
        <f>+'New Students - Enrlmt Fees'!G35</f>
        <v>43923.000000000022</v>
      </c>
    </row>
    <row r="43" spans="1:8" x14ac:dyDescent="0.25">
      <c r="A43" s="99" t="s">
        <v>6</v>
      </c>
      <c r="B43" s="192">
        <v>33650</v>
      </c>
      <c r="D43" s="31">
        <v>17500</v>
      </c>
      <c r="E43" s="31">
        <f>+D43*(1+E27)</f>
        <v>17850</v>
      </c>
      <c r="F43" s="31">
        <f>+E43*(1+F27)</f>
        <v>18207</v>
      </c>
      <c r="G43" s="31">
        <f>+F43*(1+G27)</f>
        <v>18571.14</v>
      </c>
      <c r="H43" s="31">
        <f>+G43*(1+H27)</f>
        <v>18942.5628</v>
      </c>
    </row>
    <row r="44" spans="1:8" x14ac:dyDescent="0.25">
      <c r="A44" s="99" t="s">
        <v>285</v>
      </c>
      <c r="B44" s="192"/>
      <c r="D44" s="31"/>
      <c r="E44" s="31"/>
      <c r="F44" s="31"/>
      <c r="G44" s="31"/>
      <c r="H44" s="31"/>
    </row>
    <row r="45" spans="1:8" x14ac:dyDescent="0.25">
      <c r="A45" s="99" t="s">
        <v>284</v>
      </c>
      <c r="B45" s="192"/>
      <c r="C45" s="45"/>
      <c r="D45" s="41"/>
      <c r="E45" s="41"/>
      <c r="F45" s="41"/>
      <c r="G45" s="41"/>
      <c r="H45" s="41"/>
    </row>
    <row r="46" spans="1:8" x14ac:dyDescent="0.25">
      <c r="A46" s="99" t="s">
        <v>283</v>
      </c>
      <c r="B46" s="192">
        <v>47850</v>
      </c>
      <c r="D46" s="31">
        <f>+'New Students - Enrlmt Fees'!C40</f>
        <v>9200</v>
      </c>
      <c r="E46" s="31">
        <f>+'New Students - Enrlmt Fees'!D40</f>
        <v>18700.000000000004</v>
      </c>
      <c r="F46" s="31">
        <f>+'New Students - Enrlmt Fees'!E40</f>
        <v>29040.000000000007</v>
      </c>
      <c r="G46" s="31">
        <f>+'New Students - Enrlmt Fees'!F40</f>
        <v>29947.500000000011</v>
      </c>
      <c r="H46" s="31">
        <f>+'New Students - Enrlmt Fees'!G40</f>
        <v>41726.85000000002</v>
      </c>
    </row>
    <row r="47" spans="1:8" x14ac:dyDescent="0.25">
      <c r="A47" s="99"/>
      <c r="B47" s="192"/>
      <c r="D47" s="69"/>
      <c r="E47" s="69"/>
      <c r="F47" s="69"/>
      <c r="G47" s="69"/>
      <c r="H47" s="69"/>
    </row>
    <row r="48" spans="1:8" x14ac:dyDescent="0.25">
      <c r="A48" s="1" t="s">
        <v>114</v>
      </c>
      <c r="B48" s="100">
        <f>SUM(B30:B46)</f>
        <v>504789.64</v>
      </c>
      <c r="C48" s="4"/>
      <c r="D48" s="4">
        <f>SUM(D30:D46)</f>
        <v>466000</v>
      </c>
      <c r="E48" s="4">
        <f>SUM(E30:E43)</f>
        <v>675400</v>
      </c>
      <c r="F48" s="4">
        <f>SUM(F30:F43)</f>
        <v>740121</v>
      </c>
      <c r="G48" s="4">
        <f>SUM(G30:G43)</f>
        <v>789997.52</v>
      </c>
      <c r="H48" s="4">
        <f>SUM(H30:H43)</f>
        <v>495054.35040000017</v>
      </c>
    </row>
    <row r="49" spans="1:8" x14ac:dyDescent="0.25">
      <c r="B49" s="42"/>
    </row>
    <row r="50" spans="1:8" ht="15.75" thickBot="1" x14ac:dyDescent="0.3">
      <c r="A50" s="70" t="s">
        <v>115</v>
      </c>
      <c r="B50" s="76">
        <f>+B48+B21</f>
        <v>35240955.93</v>
      </c>
      <c r="C50" s="77"/>
      <c r="D50" s="76">
        <f>D48+D21</f>
        <v>35289656.5</v>
      </c>
      <c r="E50" s="76">
        <f>E48+E21</f>
        <v>38649903.600000001</v>
      </c>
      <c r="F50" s="76">
        <f>F48+F21</f>
        <v>42496689.5</v>
      </c>
      <c r="G50" s="76">
        <f>G48+G21</f>
        <v>46216839.020000003</v>
      </c>
      <c r="H50" s="76">
        <f>H48+H21</f>
        <v>48810158.350400001</v>
      </c>
    </row>
    <row r="51" spans="1:8" ht="15.75" thickTop="1" x14ac:dyDescent="0.25">
      <c r="B51" s="42"/>
    </row>
    <row r="52" spans="1:8" x14ac:dyDescent="0.25">
      <c r="B52" s="69"/>
    </row>
    <row r="53" spans="1:8" x14ac:dyDescent="0.25">
      <c r="B53" s="69"/>
    </row>
    <row r="54" spans="1:8" x14ac:dyDescent="0.25">
      <c r="B54" s="69"/>
    </row>
    <row r="55" spans="1:8" x14ac:dyDescent="0.25">
      <c r="B55" s="69"/>
    </row>
    <row r="56" spans="1:8" x14ac:dyDescent="0.25">
      <c r="B56" s="69"/>
    </row>
    <row r="57" spans="1:8" x14ac:dyDescent="0.25">
      <c r="B57" s="69"/>
    </row>
  </sheetData>
  <phoneticPr fontId="8" type="noConversion"/>
  <printOptions gridLines="1"/>
  <pageMargins left="0.75" right="0.75" top="0.25" bottom="0.75" header="0.5" footer="0.5"/>
  <pageSetup scale="70" orientation="portrait"/>
  <headerFooter alignWithMargins="0">
    <oddFooter>&amp;L&amp;Z&amp;F&amp;F&amp;A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I43"/>
  <sheetViews>
    <sheetView workbookViewId="0">
      <selection activeCell="E9" sqref="E9"/>
    </sheetView>
  </sheetViews>
  <sheetFormatPr defaultColWidth="8.85546875" defaultRowHeight="15" x14ac:dyDescent="0.25"/>
  <cols>
    <col min="1" max="1" width="50" style="1" bestFit="1" customWidth="1"/>
    <col min="2" max="2" width="14" style="31" customWidth="1"/>
    <col min="3" max="3" width="20.85546875" style="1" customWidth="1"/>
    <col min="4" max="4" width="12.85546875" style="1" bestFit="1" customWidth="1"/>
    <col min="5" max="8" width="14" style="1" bestFit="1" customWidth="1"/>
    <col min="9" max="16384" width="8.85546875" style="1"/>
  </cols>
  <sheetData>
    <row r="3" spans="1:9" x14ac:dyDescent="0.25">
      <c r="B3" s="31" t="s">
        <v>116</v>
      </c>
      <c r="D3" s="34" t="s">
        <v>109</v>
      </c>
      <c r="E3" s="34" t="s">
        <v>109</v>
      </c>
      <c r="F3" s="34" t="s">
        <v>109</v>
      </c>
      <c r="G3" s="34" t="s">
        <v>109</v>
      </c>
      <c r="H3" s="34" t="s">
        <v>109</v>
      </c>
      <c r="I3" s="42"/>
    </row>
    <row r="4" spans="1:9" x14ac:dyDescent="0.25">
      <c r="B4" s="168">
        <v>42185</v>
      </c>
      <c r="C4" s="28" t="s">
        <v>110</v>
      </c>
      <c r="D4" s="34" t="s">
        <v>104</v>
      </c>
      <c r="E4" s="34" t="s">
        <v>105</v>
      </c>
      <c r="F4" s="34" t="s">
        <v>106</v>
      </c>
      <c r="G4" s="34" t="s">
        <v>107</v>
      </c>
      <c r="H4" s="34" t="s">
        <v>108</v>
      </c>
      <c r="I4" s="42"/>
    </row>
    <row r="5" spans="1:9" x14ac:dyDescent="0.25">
      <c r="C5" s="28"/>
      <c r="D5" s="101"/>
      <c r="E5" s="101"/>
      <c r="F5" s="101"/>
      <c r="G5" s="101"/>
      <c r="H5" s="101"/>
      <c r="I5" s="42"/>
    </row>
    <row r="6" spans="1:9" x14ac:dyDescent="0.25">
      <c r="A6" s="106" t="s">
        <v>253</v>
      </c>
      <c r="B6" s="241"/>
      <c r="C6" s="28"/>
      <c r="D6" s="101"/>
      <c r="E6" s="101"/>
      <c r="F6" s="101"/>
      <c r="G6" s="101"/>
      <c r="H6" s="101"/>
      <c r="I6" s="42"/>
    </row>
    <row r="7" spans="1:9" x14ac:dyDescent="0.25">
      <c r="A7" s="106" t="s">
        <v>143</v>
      </c>
      <c r="B7" s="241">
        <v>9632</v>
      </c>
      <c r="C7" s="109">
        <v>0.1</v>
      </c>
      <c r="D7" s="110">
        <f>+B7</f>
        <v>9632</v>
      </c>
      <c r="E7" s="110">
        <v>0</v>
      </c>
      <c r="F7" s="110">
        <f>+E7*(1+$C$7)</f>
        <v>0</v>
      </c>
      <c r="G7" s="110">
        <f>+F7*(1+$C$7)</f>
        <v>0</v>
      </c>
      <c r="H7" s="110">
        <f>+G7*(1+$C$7)</f>
        <v>0</v>
      </c>
      <c r="I7" s="42"/>
    </row>
    <row r="8" spans="1:9" x14ac:dyDescent="0.25">
      <c r="A8" s="106" t="s">
        <v>4</v>
      </c>
      <c r="B8" s="241">
        <v>32090</v>
      </c>
      <c r="C8" s="109">
        <v>0.1</v>
      </c>
      <c r="D8" s="110">
        <f>+B8*(C8+1)</f>
        <v>35299</v>
      </c>
      <c r="E8" s="110">
        <f>D8*(1+$C$8)</f>
        <v>38828.9</v>
      </c>
      <c r="F8" s="110">
        <f>E8*(1+$C$8)</f>
        <v>42711.790000000008</v>
      </c>
      <c r="G8" s="110">
        <f>F8*(1+$C$8)</f>
        <v>46982.969000000012</v>
      </c>
      <c r="H8" s="110">
        <f>G8*(1+$C$8)</f>
        <v>51681.26590000002</v>
      </c>
      <c r="I8" s="42"/>
    </row>
    <row r="9" spans="1:9" x14ac:dyDescent="0.25">
      <c r="A9" s="106" t="s">
        <v>144</v>
      </c>
      <c r="B9" s="241">
        <v>8641212</v>
      </c>
      <c r="C9" s="109">
        <v>0.4</v>
      </c>
      <c r="D9" s="111">
        <f>+$C$9*'Tuition &amp; Fee Revenue'!D5</f>
        <v>8062148</v>
      </c>
      <c r="E9" s="111">
        <f>+$C$9*'Tuition &amp; Fee Revenue'!E5</f>
        <v>8830333.8000000007</v>
      </c>
      <c r="F9" s="111">
        <f>+$C$9*'Tuition &amp; Fee Revenue'!F5</f>
        <v>9658710</v>
      </c>
      <c r="G9" s="111">
        <f>+$C$9*'Tuition &amp; Fee Revenue'!G5</f>
        <v>10279420</v>
      </c>
      <c r="H9" s="111">
        <f>+$C$9*'Tuition &amp; Fee Revenue'!H5</f>
        <v>10823658</v>
      </c>
      <c r="I9" s="42"/>
    </row>
    <row r="10" spans="1:9" x14ac:dyDescent="0.25">
      <c r="A10" s="106" t="s">
        <v>145</v>
      </c>
      <c r="B10" s="241">
        <v>5666</v>
      </c>
      <c r="C10" s="109">
        <v>0.1</v>
      </c>
      <c r="D10" s="110">
        <f>+B10*(C10+1)</f>
        <v>6232.6</v>
      </c>
      <c r="E10" s="110">
        <f>D10*(1+$C$8)</f>
        <v>6855.8600000000006</v>
      </c>
      <c r="F10" s="110">
        <f>E10*(1+$C$8)</f>
        <v>7541.4460000000008</v>
      </c>
      <c r="G10" s="110">
        <f>F10*(1+$C$8)</f>
        <v>8295.5906000000014</v>
      </c>
      <c r="H10" s="110">
        <f>G10*(1+$C$8)</f>
        <v>9125.1496600000028</v>
      </c>
      <c r="I10" s="42"/>
    </row>
    <row r="11" spans="1:9" x14ac:dyDescent="0.25">
      <c r="A11" s="108"/>
      <c r="B11" s="195"/>
      <c r="C11" s="28"/>
      <c r="D11" s="101"/>
      <c r="E11" s="101"/>
      <c r="F11" s="101"/>
      <c r="G11" s="101"/>
      <c r="H11" s="101"/>
      <c r="I11" s="42"/>
    </row>
    <row r="12" spans="1:9" x14ac:dyDescent="0.25">
      <c r="A12" s="106" t="s">
        <v>254</v>
      </c>
      <c r="B12" s="241">
        <f>SUM(B7:B10)</f>
        <v>8688600</v>
      </c>
      <c r="C12" s="28"/>
      <c r="D12" s="107">
        <f>SUM(D7:D10)</f>
        <v>8113311.5999999996</v>
      </c>
      <c r="E12" s="107">
        <f>SUM(E7:E10)</f>
        <v>8876018.5600000005</v>
      </c>
      <c r="F12" s="107">
        <f>SUM(F7:F10)</f>
        <v>9708963.2359999996</v>
      </c>
      <c r="G12" s="107">
        <f>SUM(G7:G10)</f>
        <v>10334698.559600001</v>
      </c>
      <c r="H12" s="107">
        <f>SUM(H7:H10)</f>
        <v>10884464.415560002</v>
      </c>
      <c r="I12" s="42"/>
    </row>
    <row r="13" spans="1:9" x14ac:dyDescent="0.25">
      <c r="A13" s="108"/>
      <c r="B13" s="195"/>
      <c r="C13" s="28"/>
      <c r="D13" s="101"/>
      <c r="E13" s="101"/>
      <c r="F13" s="101"/>
      <c r="G13" s="101"/>
      <c r="H13" s="101"/>
      <c r="I13" s="42"/>
    </row>
    <row r="14" spans="1:9" x14ac:dyDescent="0.25">
      <c r="A14" s="108"/>
      <c r="B14" s="241"/>
      <c r="C14" s="28"/>
      <c r="D14" s="101"/>
      <c r="E14" s="101"/>
      <c r="F14" s="101"/>
      <c r="G14" s="101"/>
      <c r="H14" s="101"/>
      <c r="I14" s="42"/>
    </row>
    <row r="15" spans="1:9" x14ac:dyDescent="0.25">
      <c r="A15" s="106" t="s">
        <v>146</v>
      </c>
      <c r="B15" s="241"/>
      <c r="C15" s="28"/>
      <c r="D15" s="101"/>
      <c r="E15" s="101"/>
      <c r="F15" s="101"/>
      <c r="G15" s="101"/>
      <c r="H15" s="101"/>
      <c r="I15" s="42"/>
    </row>
    <row r="16" spans="1:9" x14ac:dyDescent="0.25">
      <c r="A16" s="106" t="s">
        <v>255</v>
      </c>
      <c r="B16" s="241">
        <v>179033</v>
      </c>
      <c r="C16" s="109">
        <v>0</v>
      </c>
      <c r="D16" s="112">
        <f>+B16*(1+C16)</f>
        <v>179033</v>
      </c>
      <c r="E16" s="112">
        <f>+D16*(1+$C$16)</f>
        <v>179033</v>
      </c>
      <c r="F16" s="112">
        <f>+E16*(1+$C$16)</f>
        <v>179033</v>
      </c>
      <c r="G16" s="112">
        <f>+F16*(1+$C$16)</f>
        <v>179033</v>
      </c>
      <c r="H16" s="112">
        <f>+G16*(1+$C$16)</f>
        <v>179033</v>
      </c>
      <c r="I16" s="42"/>
    </row>
    <row r="17" spans="1:9" x14ac:dyDescent="0.25">
      <c r="A17" s="106" t="s">
        <v>286</v>
      </c>
      <c r="B17" s="241">
        <v>-1709</v>
      </c>
      <c r="C17" s="109"/>
      <c r="D17" s="112"/>
      <c r="E17" s="112"/>
      <c r="F17" s="112"/>
      <c r="G17" s="112"/>
      <c r="H17" s="112"/>
      <c r="I17" s="42"/>
    </row>
    <row r="18" spans="1:9" x14ac:dyDescent="0.25">
      <c r="A18" s="106"/>
      <c r="B18" s="241"/>
      <c r="C18" s="109"/>
      <c r="D18" s="112"/>
      <c r="E18" s="112"/>
      <c r="F18" s="112"/>
      <c r="G18" s="112"/>
      <c r="H18" s="112"/>
      <c r="I18" s="42"/>
    </row>
    <row r="19" spans="1:9" x14ac:dyDescent="0.25">
      <c r="A19" s="106" t="s">
        <v>147</v>
      </c>
      <c r="B19" s="241">
        <v>41211</v>
      </c>
      <c r="C19" s="109">
        <v>0</v>
      </c>
      <c r="D19" s="112">
        <f>+B19*(1+C19)</f>
        <v>41211</v>
      </c>
      <c r="E19" s="112">
        <f>+D19*($C$19+1)</f>
        <v>41211</v>
      </c>
      <c r="F19" s="112">
        <f>+E19*($C$19+1)</f>
        <v>41211</v>
      </c>
      <c r="G19" s="112">
        <f>+F19*($C$19+1)</f>
        <v>41211</v>
      </c>
      <c r="H19" s="112">
        <f>+G19*($C$19+1)</f>
        <v>41211</v>
      </c>
      <c r="I19" s="42"/>
    </row>
    <row r="20" spans="1:9" x14ac:dyDescent="0.25">
      <c r="A20" s="106" t="s">
        <v>148</v>
      </c>
      <c r="B20" s="241">
        <v>1100519</v>
      </c>
      <c r="C20" s="109">
        <v>0</v>
      </c>
      <c r="D20" s="112">
        <f t="shared" ref="D20:D22" si="0">+B20*(1+C20)</f>
        <v>1100519</v>
      </c>
      <c r="E20" s="112">
        <f>+D20*($C$20+1)</f>
        <v>1100519</v>
      </c>
      <c r="F20" s="112">
        <f>+E20*($C$20+1)</f>
        <v>1100519</v>
      </c>
      <c r="G20" s="112">
        <f>+F20*($C$20+1)</f>
        <v>1100519</v>
      </c>
      <c r="H20" s="112">
        <f>+G20*($C$20+1)</f>
        <v>1100519</v>
      </c>
      <c r="I20" s="42"/>
    </row>
    <row r="21" spans="1:9" x14ac:dyDescent="0.25">
      <c r="A21" s="106" t="s">
        <v>149</v>
      </c>
      <c r="B21" s="241">
        <v>8000</v>
      </c>
      <c r="C21" s="109">
        <v>0</v>
      </c>
      <c r="D21" s="112">
        <f t="shared" si="0"/>
        <v>8000</v>
      </c>
      <c r="E21" s="112">
        <f>+D21*($C$21+1)</f>
        <v>8000</v>
      </c>
      <c r="F21" s="112">
        <f>+E21*($C$21+1)</f>
        <v>8000</v>
      </c>
      <c r="G21" s="112">
        <f>+F21*($C$21+1)</f>
        <v>8000</v>
      </c>
      <c r="H21" s="112">
        <f>+G21*($C$21+1)</f>
        <v>8000</v>
      </c>
      <c r="I21" s="42"/>
    </row>
    <row r="22" spans="1:9" x14ac:dyDescent="0.25">
      <c r="A22" s="106" t="s">
        <v>150</v>
      </c>
      <c r="B22" s="241">
        <v>9887</v>
      </c>
      <c r="C22" s="109">
        <v>0</v>
      </c>
      <c r="D22" s="112">
        <f t="shared" si="0"/>
        <v>9887</v>
      </c>
      <c r="E22" s="112">
        <f>+D22*($C$22+1)</f>
        <v>9887</v>
      </c>
      <c r="F22" s="112">
        <f>+E22*($C$22+1)</f>
        <v>9887</v>
      </c>
      <c r="G22" s="112">
        <f>+F22*($C$22+1)</f>
        <v>9887</v>
      </c>
      <c r="H22" s="112">
        <f>+G22*($C$22+1)</f>
        <v>9887</v>
      </c>
      <c r="I22" s="42"/>
    </row>
    <row r="23" spans="1:9" x14ac:dyDescent="0.25">
      <c r="B23" s="196"/>
      <c r="C23" s="28"/>
      <c r="D23" s="101"/>
      <c r="E23" s="101"/>
      <c r="F23" s="101"/>
      <c r="G23" s="101"/>
      <c r="H23" s="101"/>
      <c r="I23" s="42"/>
    </row>
    <row r="24" spans="1:9" x14ac:dyDescent="0.25">
      <c r="A24" s="106" t="s">
        <v>151</v>
      </c>
      <c r="B24" s="196">
        <f>SUM(B16:B22)</f>
        <v>1336941</v>
      </c>
      <c r="C24" s="28"/>
      <c r="D24" s="31">
        <f>SUM(D16:D22)</f>
        <v>1338650</v>
      </c>
      <c r="E24" s="31">
        <f>SUM(E16:E22)</f>
        <v>1338650</v>
      </c>
      <c r="F24" s="31">
        <f>SUM(F16:F22)</f>
        <v>1338650</v>
      </c>
      <c r="G24" s="31">
        <f>SUM(G16:G22)</f>
        <v>1338650</v>
      </c>
      <c r="H24" s="31">
        <f>SUM(H16:H22)</f>
        <v>1338650</v>
      </c>
      <c r="I24" s="42"/>
    </row>
    <row r="25" spans="1:9" x14ac:dyDescent="0.25">
      <c r="B25" s="196"/>
      <c r="C25" s="28"/>
      <c r="D25" s="101"/>
      <c r="E25" s="101"/>
      <c r="F25" s="101"/>
      <c r="G25" s="101"/>
      <c r="H25" s="101"/>
      <c r="I25" s="42"/>
    </row>
    <row r="26" spans="1:9" x14ac:dyDescent="0.25">
      <c r="B26" s="196"/>
      <c r="C26" s="28"/>
      <c r="D26" s="101"/>
      <c r="E26" s="101"/>
      <c r="F26" s="101"/>
      <c r="G26" s="101"/>
      <c r="H26" s="101"/>
      <c r="I26" s="42"/>
    </row>
    <row r="27" spans="1:9" x14ac:dyDescent="0.25">
      <c r="B27" s="196">
        <f>+B12+B24</f>
        <v>10025541</v>
      </c>
      <c r="C27" s="31"/>
      <c r="D27" s="31">
        <f>+D12+D24</f>
        <v>9451961.5999999996</v>
      </c>
      <c r="E27" s="31">
        <f>+E12+E24</f>
        <v>10214668.560000001</v>
      </c>
      <c r="F27" s="31">
        <f>+F12+F24</f>
        <v>11047613.236</v>
      </c>
      <c r="G27" s="31">
        <f>+G12+G24</f>
        <v>11673348.559600001</v>
      </c>
      <c r="H27" s="31">
        <f>+H12+H24</f>
        <v>12223114.415560002</v>
      </c>
      <c r="I27" s="42"/>
    </row>
    <row r="28" spans="1:9" x14ac:dyDescent="0.25">
      <c r="B28" s="196"/>
      <c r="C28" s="28"/>
      <c r="D28" s="101"/>
      <c r="E28" s="101"/>
      <c r="F28" s="101"/>
      <c r="G28" s="101"/>
      <c r="H28" s="101"/>
      <c r="I28" s="42"/>
    </row>
    <row r="29" spans="1:9" ht="16.5" x14ac:dyDescent="0.3">
      <c r="A29" s="118"/>
      <c r="B29" s="242"/>
      <c r="C29" s="119"/>
      <c r="D29" s="118"/>
      <c r="E29" s="120"/>
      <c r="F29" s="101"/>
      <c r="G29" s="101"/>
      <c r="H29" s="101"/>
      <c r="I29" s="42"/>
    </row>
    <row r="30" spans="1:9" ht="16.5" x14ac:dyDescent="0.3">
      <c r="A30" s="118"/>
      <c r="B30" s="242"/>
      <c r="C30" s="119"/>
      <c r="D30" s="38">
        <v>38406897.5</v>
      </c>
      <c r="E30" s="38">
        <v>40100652</v>
      </c>
      <c r="F30" s="38">
        <v>42903860.299999997</v>
      </c>
      <c r="G30" s="38">
        <v>45915589.696000002</v>
      </c>
      <c r="H30" s="38">
        <v>47337466.329920001</v>
      </c>
    </row>
    <row r="31" spans="1:9" ht="16.5" x14ac:dyDescent="0.3">
      <c r="A31" s="118"/>
      <c r="B31" s="242"/>
      <c r="C31" s="119"/>
      <c r="D31" s="148">
        <f>+D27/D30</f>
        <v>0.24610062814888914</v>
      </c>
      <c r="E31" s="148">
        <f>+E27/E30</f>
        <v>0.25472574760131084</v>
      </c>
      <c r="F31" s="148">
        <f>+F27/F30</f>
        <v>0.25749695152722657</v>
      </c>
      <c r="G31" s="148">
        <f>+G27/G30</f>
        <v>0.25423496979756616</v>
      </c>
      <c r="H31" s="148">
        <f>+H27/H30</f>
        <v>0.25821226532004504</v>
      </c>
    </row>
    <row r="32" spans="1:9" ht="16.5" x14ac:dyDescent="0.3">
      <c r="B32" s="242"/>
      <c r="C32" s="119"/>
      <c r="D32" s="118"/>
      <c r="E32" s="120"/>
    </row>
    <row r="33" spans="1:5" ht="16.5" x14ac:dyDescent="0.3">
      <c r="B33" s="242"/>
      <c r="C33" s="119"/>
      <c r="D33" s="118"/>
      <c r="E33" s="120"/>
    </row>
    <row r="34" spans="1:5" ht="16.5" x14ac:dyDescent="0.3">
      <c r="B34" s="242"/>
      <c r="C34" s="119"/>
      <c r="D34" s="118"/>
      <c r="E34" s="121"/>
    </row>
    <row r="35" spans="1:5" ht="16.5" x14ac:dyDescent="0.3">
      <c r="B35" s="118"/>
      <c r="C35" s="119"/>
      <c r="D35" s="118"/>
      <c r="E35" s="121"/>
    </row>
    <row r="36" spans="1:5" ht="16.5" x14ac:dyDescent="0.3">
      <c r="A36" s="118"/>
      <c r="B36" s="118"/>
      <c r="C36" s="119"/>
      <c r="D36" s="118"/>
      <c r="E36" s="121"/>
    </row>
    <row r="37" spans="1:5" ht="16.5" x14ac:dyDescent="0.3">
      <c r="A37" s="118"/>
      <c r="B37" s="118"/>
      <c r="C37" s="119"/>
      <c r="D37" s="118"/>
      <c r="E37" s="121"/>
    </row>
    <row r="38" spans="1:5" ht="16.5" x14ac:dyDescent="0.3">
      <c r="A38" s="118"/>
      <c r="B38" s="118"/>
      <c r="C38" s="119"/>
      <c r="D38" s="118"/>
      <c r="E38" s="121"/>
    </row>
    <row r="39" spans="1:5" ht="16.5" x14ac:dyDescent="0.3">
      <c r="A39" s="118"/>
      <c r="B39" s="118"/>
      <c r="C39" s="119"/>
      <c r="D39" s="118"/>
      <c r="E39" s="121"/>
    </row>
    <row r="40" spans="1:5" ht="16.5" x14ac:dyDescent="0.3">
      <c r="A40" s="118"/>
      <c r="B40" s="118"/>
      <c r="C40" s="118"/>
      <c r="D40" s="118"/>
      <c r="E40" s="121"/>
    </row>
    <row r="41" spans="1:5" ht="16.5" x14ac:dyDescent="0.3">
      <c r="A41" s="118"/>
      <c r="B41" s="118"/>
      <c r="C41" s="118"/>
      <c r="D41" s="118"/>
      <c r="E41" s="122"/>
    </row>
    <row r="42" spans="1:5" ht="17.25" thickBot="1" x14ac:dyDescent="0.35">
      <c r="A42" s="118"/>
      <c r="B42" s="118"/>
      <c r="C42" s="118"/>
      <c r="D42" s="118"/>
      <c r="E42" s="123"/>
    </row>
    <row r="43" spans="1:5" ht="15.75" thickTop="1" x14ac:dyDescent="0.25"/>
  </sheetData>
  <phoneticPr fontId="8" type="noConversion"/>
  <printOptions gridLines="1"/>
  <pageMargins left="0.75" right="0.75" top="1" bottom="1" header="0.5" footer="0.5"/>
  <pageSetup orientation="landscape"/>
  <headerFooter alignWithMargins="0">
    <oddFooter>&amp;L&amp;Z&amp;F&amp;F&amp;A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9"/>
  <sheetViews>
    <sheetView topLeftCell="A61" workbookViewId="0">
      <selection activeCell="B87" sqref="B87"/>
    </sheetView>
  </sheetViews>
  <sheetFormatPr defaultColWidth="8.85546875" defaultRowHeight="15" x14ac:dyDescent="0.25"/>
  <cols>
    <col min="1" max="1" width="33.140625" style="1" bestFit="1" customWidth="1"/>
    <col min="2" max="2" width="17" style="1" bestFit="1" customWidth="1"/>
    <col min="3" max="3" width="14" style="1" customWidth="1"/>
    <col min="4" max="4" width="17" style="1" bestFit="1" customWidth="1"/>
    <col min="5" max="5" width="14" style="1" customWidth="1"/>
    <col min="6" max="6" width="12.85546875" style="1" bestFit="1" customWidth="1"/>
    <col min="7" max="7" width="14.140625" style="1" bestFit="1" customWidth="1"/>
    <col min="8" max="9" width="12.85546875" style="1" bestFit="1" customWidth="1"/>
    <col min="10" max="10" width="8.5703125" style="1" bestFit="1" customWidth="1"/>
    <col min="11" max="11" width="11" style="1" bestFit="1" customWidth="1"/>
    <col min="12" max="16384" width="8.85546875" style="1"/>
  </cols>
  <sheetData>
    <row r="1" spans="1:12" x14ac:dyDescent="0.25">
      <c r="A1" s="95"/>
      <c r="B1" s="96" t="s">
        <v>447</v>
      </c>
      <c r="C1" s="97" t="s">
        <v>448</v>
      </c>
      <c r="D1" s="96" t="s">
        <v>290</v>
      </c>
      <c r="E1" s="97" t="s">
        <v>291</v>
      </c>
      <c r="F1" s="96" t="s">
        <v>393</v>
      </c>
      <c r="G1" s="97" t="s">
        <v>394</v>
      </c>
      <c r="H1" s="96" t="s">
        <v>407</v>
      </c>
      <c r="I1" s="97" t="s">
        <v>408</v>
      </c>
      <c r="J1" s="96" t="s">
        <v>422</v>
      </c>
      <c r="K1" s="97" t="s">
        <v>423</v>
      </c>
    </row>
    <row r="2" spans="1:12" x14ac:dyDescent="0.25">
      <c r="A2" s="95" t="s">
        <v>186</v>
      </c>
      <c r="B2" s="243">
        <v>947</v>
      </c>
      <c r="C2" s="243">
        <v>855</v>
      </c>
      <c r="D2" s="243">
        <v>1025</v>
      </c>
      <c r="E2" s="243">
        <v>910</v>
      </c>
      <c r="F2" s="243">
        <v>1100</v>
      </c>
      <c r="G2" s="243">
        <v>975</v>
      </c>
      <c r="H2" s="243">
        <v>1150</v>
      </c>
      <c r="I2" s="243">
        <v>1015</v>
      </c>
      <c r="J2" s="243">
        <v>1160</v>
      </c>
      <c r="K2" s="243">
        <v>1075</v>
      </c>
    </row>
    <row r="3" spans="1:12" x14ac:dyDescent="0.25">
      <c r="A3" s="95" t="s">
        <v>411</v>
      </c>
      <c r="B3" s="243">
        <v>47</v>
      </c>
      <c r="C3" s="243">
        <v>40</v>
      </c>
      <c r="D3" s="243">
        <v>50</v>
      </c>
      <c r="E3" s="243">
        <v>50</v>
      </c>
      <c r="F3" s="243">
        <v>50</v>
      </c>
      <c r="G3" s="243">
        <v>50</v>
      </c>
      <c r="H3" s="243">
        <v>50</v>
      </c>
      <c r="I3" s="243">
        <v>50</v>
      </c>
      <c r="J3" s="243">
        <v>50</v>
      </c>
      <c r="K3" s="243">
        <v>50</v>
      </c>
    </row>
    <row r="4" spans="1:12" x14ac:dyDescent="0.25">
      <c r="A4" s="95" t="s">
        <v>261</v>
      </c>
      <c r="B4" s="243">
        <v>81</v>
      </c>
      <c r="C4" s="243">
        <v>85</v>
      </c>
      <c r="D4" s="243">
        <v>80</v>
      </c>
      <c r="E4" s="243">
        <v>75</v>
      </c>
      <c r="F4" s="243">
        <v>80</v>
      </c>
      <c r="G4" s="243">
        <v>75</v>
      </c>
      <c r="H4" s="243">
        <v>75</v>
      </c>
      <c r="I4" s="243">
        <v>70</v>
      </c>
      <c r="J4" s="243">
        <v>80</v>
      </c>
      <c r="K4" s="243">
        <v>75</v>
      </c>
    </row>
    <row r="5" spans="1:12" x14ac:dyDescent="0.25">
      <c r="A5" s="95" t="s">
        <v>262</v>
      </c>
      <c r="B5" s="243">
        <v>385</v>
      </c>
      <c r="C5" s="243">
        <v>365</v>
      </c>
      <c r="D5" s="243">
        <v>370</v>
      </c>
      <c r="E5" s="243">
        <v>355</v>
      </c>
      <c r="F5" s="243">
        <v>355</v>
      </c>
      <c r="G5" s="243">
        <v>370</v>
      </c>
      <c r="H5" s="243">
        <v>410</v>
      </c>
      <c r="I5" s="243">
        <v>375</v>
      </c>
      <c r="J5" s="243">
        <v>375</v>
      </c>
      <c r="K5" s="243">
        <v>360</v>
      </c>
    </row>
    <row r="6" spans="1:12" s="115" customFormat="1" x14ac:dyDescent="0.25">
      <c r="A6" s="114" t="s">
        <v>409</v>
      </c>
      <c r="B6" s="243">
        <v>131</v>
      </c>
      <c r="C6" s="243">
        <v>135</v>
      </c>
      <c r="D6" s="243">
        <v>160</v>
      </c>
      <c r="E6" s="243">
        <v>170</v>
      </c>
      <c r="F6" s="243">
        <v>200</v>
      </c>
      <c r="G6" s="243">
        <v>225</v>
      </c>
      <c r="H6" s="243">
        <v>250</v>
      </c>
      <c r="I6" s="243">
        <v>265</v>
      </c>
      <c r="J6" s="243">
        <v>325</v>
      </c>
      <c r="K6" s="243">
        <v>325</v>
      </c>
    </row>
    <row r="7" spans="1:12" s="115" customFormat="1" x14ac:dyDescent="0.25">
      <c r="A7" s="114" t="s">
        <v>410</v>
      </c>
      <c r="B7" s="243">
        <v>42</v>
      </c>
      <c r="C7" s="243">
        <v>50</v>
      </c>
      <c r="D7" s="243">
        <v>60</v>
      </c>
      <c r="E7" s="243">
        <v>65</v>
      </c>
      <c r="F7" s="243">
        <v>90</v>
      </c>
      <c r="G7" s="243">
        <v>95</v>
      </c>
      <c r="H7" s="243">
        <v>120</v>
      </c>
      <c r="I7" s="243">
        <v>115</v>
      </c>
      <c r="J7" s="243">
        <v>145</v>
      </c>
      <c r="K7" s="243">
        <v>130</v>
      </c>
    </row>
    <row r="8" spans="1:12" x14ac:dyDescent="0.25">
      <c r="A8" s="95" t="s">
        <v>263</v>
      </c>
      <c r="B8" s="243">
        <v>81</v>
      </c>
      <c r="C8" s="243">
        <v>85</v>
      </c>
      <c r="D8" s="243">
        <v>95</v>
      </c>
      <c r="E8" s="243">
        <v>100</v>
      </c>
      <c r="F8" s="243">
        <v>120</v>
      </c>
      <c r="G8" s="243">
        <v>110</v>
      </c>
      <c r="H8" s="243">
        <v>115</v>
      </c>
      <c r="I8" s="243">
        <v>115</v>
      </c>
      <c r="J8" s="243">
        <v>125</v>
      </c>
      <c r="K8" s="243">
        <v>120</v>
      </c>
    </row>
    <row r="9" spans="1:12" x14ac:dyDescent="0.25">
      <c r="A9" s="95" t="s">
        <v>266</v>
      </c>
      <c r="B9" s="243">
        <v>36</v>
      </c>
      <c r="C9" s="243">
        <v>35</v>
      </c>
      <c r="D9" s="243">
        <v>37</v>
      </c>
      <c r="E9" s="243">
        <v>25</v>
      </c>
      <c r="F9" s="243">
        <v>34</v>
      </c>
      <c r="G9" s="243">
        <v>27</v>
      </c>
      <c r="H9" s="243">
        <v>50</v>
      </c>
      <c r="I9" s="243">
        <v>45</v>
      </c>
      <c r="J9" s="243">
        <v>45</v>
      </c>
      <c r="K9" s="243">
        <v>35</v>
      </c>
    </row>
    <row r="10" spans="1:12" x14ac:dyDescent="0.25">
      <c r="A10" s="95" t="s">
        <v>267</v>
      </c>
      <c r="B10" s="243">
        <v>24</v>
      </c>
      <c r="C10" s="243">
        <v>26</v>
      </c>
      <c r="D10" s="243">
        <v>47</v>
      </c>
      <c r="E10" s="243">
        <v>35</v>
      </c>
      <c r="F10" s="243">
        <v>40</v>
      </c>
      <c r="G10" s="243">
        <v>35</v>
      </c>
      <c r="H10" s="243">
        <v>50</v>
      </c>
      <c r="I10" s="243">
        <v>45</v>
      </c>
      <c r="J10" s="243">
        <v>45</v>
      </c>
      <c r="K10" s="243">
        <v>35</v>
      </c>
    </row>
    <row r="11" spans="1:12" x14ac:dyDescent="0.25">
      <c r="A11" s="95" t="s">
        <v>268</v>
      </c>
      <c r="B11" s="243">
        <v>4</v>
      </c>
      <c r="C11" s="243">
        <v>23</v>
      </c>
      <c r="D11" s="243">
        <v>45</v>
      </c>
      <c r="E11" s="243">
        <v>60</v>
      </c>
      <c r="F11" s="243">
        <v>85</v>
      </c>
      <c r="G11" s="243">
        <v>85</v>
      </c>
      <c r="H11" s="243">
        <v>105</v>
      </c>
      <c r="I11" s="243">
        <v>95</v>
      </c>
      <c r="J11" s="243">
        <v>140</v>
      </c>
      <c r="K11" s="243">
        <v>150</v>
      </c>
    </row>
    <row r="12" spans="1:12" ht="15.75" thickBot="1" x14ac:dyDescent="0.3">
      <c r="A12" s="95" t="s">
        <v>187</v>
      </c>
      <c r="B12" s="244">
        <v>367</v>
      </c>
      <c r="C12" s="244">
        <v>325</v>
      </c>
      <c r="D12" s="244">
        <v>345</v>
      </c>
      <c r="E12" s="244">
        <v>350</v>
      </c>
      <c r="F12" s="244">
        <v>350</v>
      </c>
      <c r="G12" s="244">
        <v>370</v>
      </c>
      <c r="H12" s="244">
        <v>380</v>
      </c>
      <c r="I12" s="244">
        <v>385</v>
      </c>
      <c r="J12" s="244">
        <v>410</v>
      </c>
      <c r="K12" s="244">
        <v>390</v>
      </c>
    </row>
    <row r="13" spans="1:12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231"/>
    </row>
    <row r="14" spans="1:12" s="41" customFormat="1" x14ac:dyDescent="0.25">
      <c r="A14" s="41" t="s">
        <v>223</v>
      </c>
      <c r="B14" s="116">
        <f t="shared" ref="B14:K14" si="0">SUM(B2:B12)</f>
        <v>2145</v>
      </c>
      <c r="C14" s="116">
        <f t="shared" si="0"/>
        <v>2024</v>
      </c>
      <c r="D14" s="116">
        <f t="shared" si="0"/>
        <v>2314</v>
      </c>
      <c r="E14" s="117">
        <f t="shared" si="0"/>
        <v>2195</v>
      </c>
      <c r="F14" s="116">
        <f t="shared" si="0"/>
        <v>2504</v>
      </c>
      <c r="G14" s="117">
        <f t="shared" si="0"/>
        <v>2417</v>
      </c>
      <c r="H14" s="116">
        <f t="shared" si="0"/>
        <v>2755</v>
      </c>
      <c r="I14" s="117">
        <f t="shared" si="0"/>
        <v>2575</v>
      </c>
      <c r="J14" s="116">
        <f>SUM(J2:J12)</f>
        <v>2900</v>
      </c>
      <c r="K14" s="117">
        <f t="shared" si="0"/>
        <v>2745</v>
      </c>
    </row>
    <row r="18" spans="1:7" x14ac:dyDescent="0.25">
      <c r="B18" s="1" t="s">
        <v>104</v>
      </c>
      <c r="C18" s="1" t="s">
        <v>105</v>
      </c>
      <c r="D18" s="1" t="s">
        <v>106</v>
      </c>
      <c r="E18" s="1" t="s">
        <v>107</v>
      </c>
      <c r="F18" s="1" t="s">
        <v>108</v>
      </c>
    </row>
    <row r="19" spans="1:7" x14ac:dyDescent="0.25">
      <c r="C19" s="42"/>
      <c r="D19" s="42"/>
      <c r="E19" s="42"/>
      <c r="F19" s="42"/>
      <c r="G19" s="42"/>
    </row>
    <row r="20" spans="1:7" x14ac:dyDescent="0.25">
      <c r="A20" s="1" t="s">
        <v>186</v>
      </c>
      <c r="B20" s="51">
        <f>B2+C2</f>
        <v>1802</v>
      </c>
      <c r="C20" s="51">
        <f t="shared" ref="C20:C30" si="1">D2+E2</f>
        <v>1935</v>
      </c>
      <c r="D20" s="51">
        <f t="shared" ref="D20:D30" si="2">F2+G2</f>
        <v>2075</v>
      </c>
      <c r="E20" s="51">
        <f t="shared" ref="E20:E30" si="3">H2+I2</f>
        <v>2165</v>
      </c>
      <c r="F20" s="51">
        <f t="shared" ref="F20:F30" si="4">+J2+K2</f>
        <v>2235</v>
      </c>
      <c r="G20" s="51"/>
    </row>
    <row r="21" spans="1:7" x14ac:dyDescent="0.25">
      <c r="A21" s="95" t="s">
        <v>411</v>
      </c>
      <c r="B21" s="51">
        <f t="shared" ref="B21:B30" si="5">B3+C3</f>
        <v>87</v>
      </c>
      <c r="C21" s="51">
        <f t="shared" si="1"/>
        <v>100</v>
      </c>
      <c r="D21" s="51">
        <f t="shared" si="2"/>
        <v>100</v>
      </c>
      <c r="E21" s="51">
        <f t="shared" si="3"/>
        <v>100</v>
      </c>
      <c r="F21" s="51">
        <f t="shared" si="4"/>
        <v>100</v>
      </c>
      <c r="G21" s="51"/>
    </row>
    <row r="22" spans="1:7" x14ac:dyDescent="0.25">
      <c r="A22" s="1" t="s">
        <v>261</v>
      </c>
      <c r="B22" s="51">
        <f t="shared" si="5"/>
        <v>166</v>
      </c>
      <c r="C22" s="51">
        <f t="shared" si="1"/>
        <v>155</v>
      </c>
      <c r="D22" s="51">
        <f t="shared" si="2"/>
        <v>155</v>
      </c>
      <c r="E22" s="51">
        <f t="shared" si="3"/>
        <v>145</v>
      </c>
      <c r="F22" s="51">
        <f t="shared" si="4"/>
        <v>155</v>
      </c>
      <c r="G22" s="51"/>
    </row>
    <row r="23" spans="1:7" x14ac:dyDescent="0.25">
      <c r="A23" s="1" t="s">
        <v>262</v>
      </c>
      <c r="B23" s="51">
        <f t="shared" si="5"/>
        <v>750</v>
      </c>
      <c r="C23" s="51">
        <f t="shared" si="1"/>
        <v>725</v>
      </c>
      <c r="D23" s="51">
        <f t="shared" si="2"/>
        <v>725</v>
      </c>
      <c r="E23" s="51">
        <f t="shared" si="3"/>
        <v>785</v>
      </c>
      <c r="F23" s="51">
        <f t="shared" si="4"/>
        <v>735</v>
      </c>
      <c r="G23" s="51"/>
    </row>
    <row r="24" spans="1:7" x14ac:dyDescent="0.25">
      <c r="A24" s="1" t="s">
        <v>264</v>
      </c>
      <c r="B24" s="51">
        <f t="shared" si="5"/>
        <v>266</v>
      </c>
      <c r="C24" s="51">
        <f t="shared" si="1"/>
        <v>330</v>
      </c>
      <c r="D24" s="51">
        <f t="shared" si="2"/>
        <v>425</v>
      </c>
      <c r="E24" s="51">
        <f t="shared" si="3"/>
        <v>515</v>
      </c>
      <c r="F24" s="51">
        <f t="shared" si="4"/>
        <v>650</v>
      </c>
      <c r="G24" s="51"/>
    </row>
    <row r="25" spans="1:7" x14ac:dyDescent="0.25">
      <c r="A25" s="1" t="s">
        <v>265</v>
      </c>
      <c r="B25" s="51">
        <f t="shared" si="5"/>
        <v>92</v>
      </c>
      <c r="C25" s="51">
        <f t="shared" si="1"/>
        <v>125</v>
      </c>
      <c r="D25" s="51">
        <f t="shared" si="2"/>
        <v>185</v>
      </c>
      <c r="E25" s="51">
        <f t="shared" si="3"/>
        <v>235</v>
      </c>
      <c r="F25" s="51">
        <f t="shared" si="4"/>
        <v>275</v>
      </c>
      <c r="G25" s="51"/>
    </row>
    <row r="26" spans="1:7" x14ac:dyDescent="0.25">
      <c r="A26" s="1" t="s">
        <v>263</v>
      </c>
      <c r="B26" s="51">
        <f t="shared" si="5"/>
        <v>166</v>
      </c>
      <c r="C26" s="51">
        <f t="shared" si="1"/>
        <v>195</v>
      </c>
      <c r="D26" s="51">
        <f t="shared" si="2"/>
        <v>230</v>
      </c>
      <c r="E26" s="51">
        <f t="shared" si="3"/>
        <v>230</v>
      </c>
      <c r="F26" s="51">
        <f t="shared" si="4"/>
        <v>245</v>
      </c>
      <c r="G26" s="51"/>
    </row>
    <row r="27" spans="1:7" x14ac:dyDescent="0.25">
      <c r="A27" s="1" t="s">
        <v>266</v>
      </c>
      <c r="B27" s="51">
        <f t="shared" si="5"/>
        <v>71</v>
      </c>
      <c r="C27" s="51">
        <f t="shared" si="1"/>
        <v>62</v>
      </c>
      <c r="D27" s="51">
        <f t="shared" si="2"/>
        <v>61</v>
      </c>
      <c r="E27" s="51">
        <f t="shared" si="3"/>
        <v>95</v>
      </c>
      <c r="F27" s="51">
        <f t="shared" si="4"/>
        <v>80</v>
      </c>
      <c r="G27" s="51"/>
    </row>
    <row r="28" spans="1:7" x14ac:dyDescent="0.25">
      <c r="A28" s="1" t="s">
        <v>267</v>
      </c>
      <c r="B28" s="51">
        <f t="shared" si="5"/>
        <v>50</v>
      </c>
      <c r="C28" s="51">
        <f t="shared" si="1"/>
        <v>82</v>
      </c>
      <c r="D28" s="51">
        <f t="shared" si="2"/>
        <v>75</v>
      </c>
      <c r="E28" s="51">
        <f t="shared" si="3"/>
        <v>95</v>
      </c>
      <c r="F28" s="51">
        <f t="shared" si="4"/>
        <v>80</v>
      </c>
      <c r="G28" s="51"/>
    </row>
    <row r="29" spans="1:7" x14ac:dyDescent="0.25">
      <c r="A29" s="1" t="s">
        <v>268</v>
      </c>
      <c r="B29" s="51">
        <f t="shared" si="5"/>
        <v>27</v>
      </c>
      <c r="C29" s="51">
        <f t="shared" si="1"/>
        <v>105</v>
      </c>
      <c r="D29" s="51">
        <f t="shared" si="2"/>
        <v>170</v>
      </c>
      <c r="E29" s="51">
        <f t="shared" si="3"/>
        <v>200</v>
      </c>
      <c r="F29" s="51">
        <f t="shared" si="4"/>
        <v>290</v>
      </c>
      <c r="G29" s="51"/>
    </row>
    <row r="30" spans="1:7" x14ac:dyDescent="0.25">
      <c r="A30" s="1" t="s">
        <v>187</v>
      </c>
      <c r="B30" s="51">
        <f t="shared" si="5"/>
        <v>692</v>
      </c>
      <c r="C30" s="51">
        <f t="shared" si="1"/>
        <v>695</v>
      </c>
      <c r="D30" s="51">
        <f t="shared" si="2"/>
        <v>720</v>
      </c>
      <c r="E30" s="51">
        <f t="shared" si="3"/>
        <v>765</v>
      </c>
      <c r="F30" s="51">
        <f t="shared" si="4"/>
        <v>800</v>
      </c>
      <c r="G30" s="51"/>
    </row>
    <row r="31" spans="1:7" x14ac:dyDescent="0.25">
      <c r="C31" s="51"/>
      <c r="D31" s="51"/>
      <c r="E31" s="51"/>
      <c r="F31" s="51"/>
      <c r="G31" s="51"/>
    </row>
    <row r="32" spans="1:7" x14ac:dyDescent="0.25">
      <c r="B32" s="51">
        <f>SUM(B20:B30)</f>
        <v>4169</v>
      </c>
      <c r="C32" s="51">
        <f>SUM(C20:C30)</f>
        <v>4509</v>
      </c>
      <c r="D32" s="51">
        <f>SUM(D20:D30)</f>
        <v>4921</v>
      </c>
      <c r="E32" s="51">
        <f>SUM(E20:E30)</f>
        <v>5330</v>
      </c>
      <c r="F32" s="51">
        <f>SUM(F20:F30)</f>
        <v>5645</v>
      </c>
      <c r="G32" s="51"/>
    </row>
    <row r="33" spans="1:9" x14ac:dyDescent="0.25">
      <c r="C33" s="42"/>
      <c r="E33" s="42"/>
      <c r="F33" s="42"/>
      <c r="G33" s="42"/>
      <c r="H33" s="42"/>
      <c r="I33" s="42"/>
    </row>
    <row r="37" spans="1:9" x14ac:dyDescent="0.25">
      <c r="A37" s="72" t="s">
        <v>111</v>
      </c>
      <c r="B37" s="71" t="s">
        <v>449</v>
      </c>
      <c r="C37" s="8">
        <v>0.02</v>
      </c>
      <c r="D37" s="8">
        <v>0.02</v>
      </c>
      <c r="E37" s="8">
        <v>0.02</v>
      </c>
      <c r="F37" s="8">
        <v>0.02</v>
      </c>
      <c r="G37" s="8"/>
    </row>
    <row r="38" spans="1:9" x14ac:dyDescent="0.25">
      <c r="A38" s="1" t="s">
        <v>186</v>
      </c>
      <c r="B38" s="196">
        <v>11185</v>
      </c>
      <c r="C38" s="196">
        <f t="shared" ref="C38:C48" si="6">+B38*(1+$C$37)</f>
        <v>11408.7</v>
      </c>
      <c r="D38" s="196">
        <f>ROUND(+C38*($F$37+1),0)</f>
        <v>11637</v>
      </c>
      <c r="E38" s="196">
        <f>ROUND(+D38*($F$37+1),0)</f>
        <v>11870</v>
      </c>
      <c r="F38" s="196">
        <f>ROUND(+E38*($F$37+1),0)</f>
        <v>12107</v>
      </c>
      <c r="G38" s="196"/>
    </row>
    <row r="39" spans="1:9" x14ac:dyDescent="0.25">
      <c r="A39" s="95" t="s">
        <v>411</v>
      </c>
      <c r="B39" s="196">
        <v>700</v>
      </c>
      <c r="C39" s="196">
        <f t="shared" si="6"/>
        <v>714</v>
      </c>
      <c r="D39" s="196">
        <f>ROUND(+C39*($F$37+1),0)</f>
        <v>728</v>
      </c>
      <c r="E39" s="196">
        <f>ROUND(+D39*($F$37+1),0)</f>
        <v>743</v>
      </c>
      <c r="F39" s="196">
        <f t="shared" ref="F39:F48" si="7">ROUND(+E39*($F$37+1),0)</f>
        <v>758</v>
      </c>
      <c r="G39" s="196"/>
    </row>
    <row r="40" spans="1:9" x14ac:dyDescent="0.25">
      <c r="A40" s="1" t="s">
        <v>261</v>
      </c>
      <c r="B40" s="196">
        <v>245</v>
      </c>
      <c r="C40" s="196">
        <f t="shared" si="6"/>
        <v>249.9</v>
      </c>
      <c r="D40" s="196">
        <f t="shared" ref="D40:D48" si="8">ROUND(+C40*($E$37+1),0)</f>
        <v>255</v>
      </c>
      <c r="E40" s="196">
        <f t="shared" ref="E40:E48" si="9">ROUND(+D40*($F$37+1),0)</f>
        <v>260</v>
      </c>
      <c r="F40" s="196">
        <f t="shared" si="7"/>
        <v>265</v>
      </c>
      <c r="G40" s="196"/>
    </row>
    <row r="41" spans="1:9" x14ac:dyDescent="0.25">
      <c r="A41" s="1" t="s">
        <v>262</v>
      </c>
      <c r="B41" s="196">
        <v>540</v>
      </c>
      <c r="C41" s="196">
        <f t="shared" si="6"/>
        <v>550.79999999999995</v>
      </c>
      <c r="D41" s="196">
        <f t="shared" si="8"/>
        <v>562</v>
      </c>
      <c r="E41" s="196">
        <f t="shared" si="9"/>
        <v>573</v>
      </c>
      <c r="F41" s="196">
        <f t="shared" si="7"/>
        <v>584</v>
      </c>
      <c r="G41" s="196"/>
    </row>
    <row r="42" spans="1:9" x14ac:dyDescent="0.25">
      <c r="A42" s="1" t="s">
        <v>264</v>
      </c>
      <c r="B42" s="196">
        <v>730</v>
      </c>
      <c r="C42" s="196">
        <f t="shared" si="6"/>
        <v>744.6</v>
      </c>
      <c r="D42" s="196">
        <f t="shared" si="8"/>
        <v>759</v>
      </c>
      <c r="E42" s="196">
        <f t="shared" si="9"/>
        <v>774</v>
      </c>
      <c r="F42" s="196">
        <f t="shared" si="7"/>
        <v>789</v>
      </c>
      <c r="G42" s="196"/>
    </row>
    <row r="43" spans="1:9" x14ac:dyDescent="0.25">
      <c r="A43" s="1" t="s">
        <v>265</v>
      </c>
      <c r="B43" s="196">
        <v>770</v>
      </c>
      <c r="C43" s="196">
        <f t="shared" si="6"/>
        <v>785.4</v>
      </c>
      <c r="D43" s="196">
        <f t="shared" si="8"/>
        <v>801</v>
      </c>
      <c r="E43" s="196">
        <f t="shared" si="9"/>
        <v>817</v>
      </c>
      <c r="F43" s="196">
        <f t="shared" si="7"/>
        <v>833</v>
      </c>
      <c r="G43" s="196"/>
    </row>
    <row r="44" spans="1:9" x14ac:dyDescent="0.25">
      <c r="A44" s="1" t="s">
        <v>263</v>
      </c>
      <c r="B44" s="196">
        <v>700</v>
      </c>
      <c r="C44" s="196">
        <f t="shared" si="6"/>
        <v>714</v>
      </c>
      <c r="D44" s="196">
        <f t="shared" si="8"/>
        <v>728</v>
      </c>
      <c r="E44" s="196">
        <f t="shared" si="9"/>
        <v>743</v>
      </c>
      <c r="F44" s="196">
        <f t="shared" si="7"/>
        <v>758</v>
      </c>
      <c r="G44" s="196"/>
    </row>
    <row r="45" spans="1:9" x14ac:dyDescent="0.25">
      <c r="A45" s="1" t="s">
        <v>266</v>
      </c>
      <c r="B45" s="196">
        <v>11185</v>
      </c>
      <c r="C45" s="196">
        <f t="shared" si="6"/>
        <v>11408.7</v>
      </c>
      <c r="D45" s="196">
        <f t="shared" si="8"/>
        <v>11637</v>
      </c>
      <c r="E45" s="196">
        <f t="shared" si="9"/>
        <v>11870</v>
      </c>
      <c r="F45" s="196">
        <f t="shared" si="7"/>
        <v>12107</v>
      </c>
      <c r="G45" s="196"/>
    </row>
    <row r="46" spans="1:9" x14ac:dyDescent="0.25">
      <c r="A46" s="1" t="s">
        <v>267</v>
      </c>
      <c r="B46" s="196">
        <v>730</v>
      </c>
      <c r="C46" s="196">
        <f t="shared" si="6"/>
        <v>744.6</v>
      </c>
      <c r="D46" s="196">
        <f t="shared" si="8"/>
        <v>759</v>
      </c>
      <c r="E46" s="196">
        <f t="shared" si="9"/>
        <v>774</v>
      </c>
      <c r="F46" s="196">
        <f t="shared" si="7"/>
        <v>789</v>
      </c>
      <c r="G46" s="196"/>
    </row>
    <row r="47" spans="1:9" x14ac:dyDescent="0.25">
      <c r="A47" s="1" t="s">
        <v>268</v>
      </c>
      <c r="B47" s="196">
        <v>770</v>
      </c>
      <c r="C47" s="196">
        <f t="shared" si="6"/>
        <v>785.4</v>
      </c>
      <c r="D47" s="196">
        <f t="shared" si="8"/>
        <v>801</v>
      </c>
      <c r="E47" s="196">
        <f t="shared" si="9"/>
        <v>817</v>
      </c>
      <c r="F47" s="196">
        <f t="shared" si="7"/>
        <v>833</v>
      </c>
      <c r="G47" s="196"/>
    </row>
    <row r="48" spans="1:9" x14ac:dyDescent="0.25">
      <c r="A48" s="1" t="s">
        <v>187</v>
      </c>
      <c r="B48" s="196">
        <v>730</v>
      </c>
      <c r="C48" s="196">
        <f t="shared" si="6"/>
        <v>744.6</v>
      </c>
      <c r="D48" s="196">
        <f t="shared" si="8"/>
        <v>759</v>
      </c>
      <c r="E48" s="196">
        <f t="shared" si="9"/>
        <v>774</v>
      </c>
      <c r="F48" s="196">
        <f t="shared" si="7"/>
        <v>789</v>
      </c>
      <c r="G48" s="196"/>
    </row>
    <row r="49" spans="1:9" x14ac:dyDescent="0.25">
      <c r="C49" s="42"/>
      <c r="E49" s="42"/>
      <c r="F49" s="42"/>
      <c r="G49" s="42"/>
      <c r="H49" s="42"/>
      <c r="I49" s="42"/>
    </row>
    <row r="50" spans="1:9" x14ac:dyDescent="0.25">
      <c r="C50" s="42"/>
      <c r="E50" s="42"/>
      <c r="F50" s="42"/>
      <c r="G50" s="42"/>
      <c r="H50" s="42"/>
      <c r="I50" s="42"/>
    </row>
    <row r="51" spans="1:9" x14ac:dyDescent="0.25">
      <c r="A51" s="72" t="s">
        <v>112</v>
      </c>
      <c r="C51" s="42"/>
      <c r="E51" s="42"/>
      <c r="F51" s="100"/>
      <c r="G51" s="42"/>
      <c r="H51" s="42"/>
      <c r="I51" s="42"/>
    </row>
    <row r="52" spans="1:9" x14ac:dyDescent="0.25">
      <c r="A52" s="1" t="s">
        <v>186</v>
      </c>
      <c r="B52" s="98">
        <v>1</v>
      </c>
      <c r="C52" s="98">
        <v>1</v>
      </c>
      <c r="D52" s="98">
        <v>1</v>
      </c>
      <c r="E52" s="98">
        <v>1</v>
      </c>
      <c r="F52" s="98">
        <v>1</v>
      </c>
    </row>
    <row r="53" spans="1:9" x14ac:dyDescent="0.25">
      <c r="A53" s="1" t="s">
        <v>261</v>
      </c>
      <c r="B53" s="98">
        <v>7</v>
      </c>
      <c r="C53" s="98">
        <f t="shared" ref="C53:F61" si="10">+B53</f>
        <v>7</v>
      </c>
      <c r="D53" s="98">
        <f t="shared" si="10"/>
        <v>7</v>
      </c>
      <c r="E53" s="98">
        <f t="shared" ref="E53:E61" si="11">+D53</f>
        <v>7</v>
      </c>
      <c r="F53" s="98">
        <f t="shared" si="10"/>
        <v>7</v>
      </c>
    </row>
    <row r="54" spans="1:9" x14ac:dyDescent="0.25">
      <c r="A54" s="1" t="s">
        <v>262</v>
      </c>
      <c r="B54" s="98">
        <v>7.5</v>
      </c>
      <c r="C54" s="98">
        <f t="shared" si="10"/>
        <v>7.5</v>
      </c>
      <c r="D54" s="98">
        <f t="shared" si="10"/>
        <v>7.5</v>
      </c>
      <c r="E54" s="98">
        <f t="shared" si="11"/>
        <v>7.5</v>
      </c>
      <c r="F54" s="98">
        <f t="shared" si="10"/>
        <v>7.5</v>
      </c>
    </row>
    <row r="55" spans="1:9" x14ac:dyDescent="0.25">
      <c r="A55" s="1" t="s">
        <v>264</v>
      </c>
      <c r="B55" s="98">
        <v>6.5</v>
      </c>
      <c r="C55" s="98">
        <f t="shared" si="10"/>
        <v>6.5</v>
      </c>
      <c r="D55" s="98">
        <f t="shared" si="10"/>
        <v>6.5</v>
      </c>
      <c r="E55" s="98">
        <f t="shared" si="11"/>
        <v>6.5</v>
      </c>
      <c r="F55" s="98">
        <f t="shared" si="10"/>
        <v>6.5</v>
      </c>
    </row>
    <row r="56" spans="1:9" x14ac:dyDescent="0.25">
      <c r="A56" s="1" t="s">
        <v>265</v>
      </c>
      <c r="B56" s="98">
        <v>7.5</v>
      </c>
      <c r="C56" s="98">
        <f t="shared" si="10"/>
        <v>7.5</v>
      </c>
      <c r="D56" s="98">
        <f t="shared" si="10"/>
        <v>7.5</v>
      </c>
      <c r="E56" s="98">
        <f t="shared" si="11"/>
        <v>7.5</v>
      </c>
      <c r="F56" s="98">
        <f t="shared" si="10"/>
        <v>7.5</v>
      </c>
    </row>
    <row r="57" spans="1:9" x14ac:dyDescent="0.25">
      <c r="A57" s="1" t="s">
        <v>263</v>
      </c>
      <c r="B57" s="98">
        <v>10.5</v>
      </c>
      <c r="C57" s="98">
        <f t="shared" si="10"/>
        <v>10.5</v>
      </c>
      <c r="D57" s="98">
        <f t="shared" si="10"/>
        <v>10.5</v>
      </c>
      <c r="E57" s="98">
        <f t="shared" si="11"/>
        <v>10.5</v>
      </c>
      <c r="F57" s="98">
        <f t="shared" si="10"/>
        <v>10.5</v>
      </c>
    </row>
    <row r="58" spans="1:9" x14ac:dyDescent="0.25">
      <c r="A58" s="1" t="s">
        <v>266</v>
      </c>
      <c r="B58" s="98">
        <v>1</v>
      </c>
      <c r="C58" s="98">
        <f t="shared" si="10"/>
        <v>1</v>
      </c>
      <c r="D58" s="98">
        <f t="shared" si="10"/>
        <v>1</v>
      </c>
      <c r="E58" s="98">
        <f t="shared" si="11"/>
        <v>1</v>
      </c>
      <c r="F58" s="98">
        <f t="shared" si="10"/>
        <v>1</v>
      </c>
    </row>
    <row r="59" spans="1:9" x14ac:dyDescent="0.25">
      <c r="A59" s="1" t="s">
        <v>267</v>
      </c>
      <c r="B59" s="98">
        <v>6</v>
      </c>
      <c r="C59" s="98">
        <f t="shared" si="10"/>
        <v>6</v>
      </c>
      <c r="D59" s="98">
        <f t="shared" si="10"/>
        <v>6</v>
      </c>
      <c r="E59" s="98">
        <f t="shared" si="11"/>
        <v>6</v>
      </c>
      <c r="F59" s="98">
        <f t="shared" si="10"/>
        <v>6</v>
      </c>
    </row>
    <row r="60" spans="1:9" x14ac:dyDescent="0.25">
      <c r="A60" s="1" t="s">
        <v>268</v>
      </c>
      <c r="B60" s="31">
        <v>6</v>
      </c>
      <c r="C60" s="31">
        <f t="shared" si="10"/>
        <v>6</v>
      </c>
      <c r="D60" s="31">
        <f t="shared" si="10"/>
        <v>6</v>
      </c>
      <c r="E60" s="31">
        <f t="shared" si="11"/>
        <v>6</v>
      </c>
      <c r="F60" s="31">
        <f t="shared" si="10"/>
        <v>6</v>
      </c>
    </row>
    <row r="61" spans="1:9" x14ac:dyDescent="0.25">
      <c r="A61" s="1" t="s">
        <v>187</v>
      </c>
      <c r="B61" s="31">
        <v>6</v>
      </c>
      <c r="C61" s="31">
        <f t="shared" si="10"/>
        <v>6</v>
      </c>
      <c r="D61" s="31">
        <f t="shared" si="10"/>
        <v>6</v>
      </c>
      <c r="E61" s="31">
        <f t="shared" si="11"/>
        <v>6</v>
      </c>
      <c r="F61" s="31">
        <f t="shared" si="10"/>
        <v>6</v>
      </c>
    </row>
    <row r="66" spans="1:6" x14ac:dyDescent="0.25">
      <c r="A66" s="72" t="s">
        <v>269</v>
      </c>
      <c r="B66" s="1" t="s">
        <v>104</v>
      </c>
      <c r="C66" s="1" t="s">
        <v>105</v>
      </c>
      <c r="D66" s="1" t="s">
        <v>106</v>
      </c>
      <c r="E66" s="1" t="s">
        <v>107</v>
      </c>
      <c r="F66" s="1" t="s">
        <v>108</v>
      </c>
    </row>
    <row r="67" spans="1:6" x14ac:dyDescent="0.25">
      <c r="A67" s="1" t="s">
        <v>186</v>
      </c>
      <c r="B67" s="41">
        <f>+B52*B38*B20</f>
        <v>20155370</v>
      </c>
      <c r="C67" s="41">
        <f t="shared" ref="C67:F67" si="12">+C52*C38*C20</f>
        <v>22075834.5</v>
      </c>
      <c r="D67" s="41">
        <f t="shared" si="12"/>
        <v>24146775</v>
      </c>
      <c r="E67" s="41">
        <f t="shared" si="12"/>
        <v>25698550</v>
      </c>
      <c r="F67" s="41">
        <f t="shared" si="12"/>
        <v>27059145</v>
      </c>
    </row>
    <row r="68" spans="1:6" x14ac:dyDescent="0.25">
      <c r="A68" s="1" t="s">
        <v>261</v>
      </c>
      <c r="B68" s="41">
        <f t="shared" ref="B68:B76" si="13">+B53*B40*B22</f>
        <v>284690</v>
      </c>
      <c r="C68" s="41">
        <f t="shared" ref="C68:F68" si="14">+C53*C40*C22</f>
        <v>271141.5</v>
      </c>
      <c r="D68" s="41">
        <f t="shared" si="14"/>
        <v>276675</v>
      </c>
      <c r="E68" s="41">
        <f t="shared" si="14"/>
        <v>263900</v>
      </c>
      <c r="F68" s="41">
        <f t="shared" si="14"/>
        <v>287525</v>
      </c>
    </row>
    <row r="69" spans="1:6" x14ac:dyDescent="0.25">
      <c r="A69" s="1" t="s">
        <v>262</v>
      </c>
      <c r="B69" s="41">
        <f t="shared" si="13"/>
        <v>3037500</v>
      </c>
      <c r="C69" s="41">
        <f t="shared" ref="C69:F69" si="15">+C54*C41*C23</f>
        <v>2994975</v>
      </c>
      <c r="D69" s="41">
        <f t="shared" si="15"/>
        <v>3055875</v>
      </c>
      <c r="E69" s="41">
        <f t="shared" si="15"/>
        <v>3373537.5</v>
      </c>
      <c r="F69" s="41">
        <f t="shared" si="15"/>
        <v>3219300</v>
      </c>
    </row>
    <row r="70" spans="1:6" x14ac:dyDescent="0.25">
      <c r="A70" s="1" t="s">
        <v>264</v>
      </c>
      <c r="B70" s="41">
        <f t="shared" si="13"/>
        <v>1262170</v>
      </c>
      <c r="C70" s="41">
        <f t="shared" ref="C70:F70" si="16">+C55*C42*C24</f>
        <v>1597167.0000000002</v>
      </c>
      <c r="D70" s="41">
        <f t="shared" si="16"/>
        <v>2096737.5</v>
      </c>
      <c r="E70" s="41">
        <f t="shared" si="16"/>
        <v>2590965</v>
      </c>
      <c r="F70" s="41">
        <f t="shared" si="16"/>
        <v>3333525</v>
      </c>
    </row>
    <row r="71" spans="1:6" x14ac:dyDescent="0.25">
      <c r="A71" s="1" t="s">
        <v>265</v>
      </c>
      <c r="B71" s="41">
        <f t="shared" si="13"/>
        <v>531300</v>
      </c>
      <c r="C71" s="41">
        <f t="shared" ref="C71:F71" si="17">+C56*C43*C25</f>
        <v>736312.5</v>
      </c>
      <c r="D71" s="41">
        <f t="shared" si="17"/>
        <v>1111387.5</v>
      </c>
      <c r="E71" s="41">
        <f t="shared" si="17"/>
        <v>1439962.5</v>
      </c>
      <c r="F71" s="41">
        <f t="shared" si="17"/>
        <v>1718062.5</v>
      </c>
    </row>
    <row r="72" spans="1:6" x14ac:dyDescent="0.25">
      <c r="A72" s="1" t="s">
        <v>263</v>
      </c>
      <c r="B72" s="41">
        <f t="shared" si="13"/>
        <v>1220100</v>
      </c>
      <c r="C72" s="41">
        <f t="shared" ref="C72:F72" si="18">+C57*C44*C26</f>
        <v>1461915</v>
      </c>
      <c r="D72" s="41">
        <f t="shared" si="18"/>
        <v>1758120</v>
      </c>
      <c r="E72" s="41">
        <f t="shared" si="18"/>
        <v>1794345</v>
      </c>
      <c r="F72" s="41">
        <f t="shared" si="18"/>
        <v>1949955</v>
      </c>
    </row>
    <row r="73" spans="1:6" x14ac:dyDescent="0.25">
      <c r="A73" s="1" t="s">
        <v>266</v>
      </c>
      <c r="B73" s="41">
        <f t="shared" si="13"/>
        <v>794135</v>
      </c>
      <c r="C73" s="41">
        <f t="shared" ref="C73:F73" si="19">+C58*C45*C27</f>
        <v>707339.4</v>
      </c>
      <c r="D73" s="41">
        <f t="shared" si="19"/>
        <v>709857</v>
      </c>
      <c r="E73" s="41">
        <f t="shared" si="19"/>
        <v>1127650</v>
      </c>
      <c r="F73" s="41">
        <f t="shared" si="19"/>
        <v>968560</v>
      </c>
    </row>
    <row r="74" spans="1:6" x14ac:dyDescent="0.25">
      <c r="A74" s="1" t="s">
        <v>267</v>
      </c>
      <c r="B74" s="41">
        <f t="shared" si="13"/>
        <v>219000</v>
      </c>
      <c r="C74" s="41">
        <f t="shared" ref="C74:F74" si="20">+C59*C46*C28</f>
        <v>366343.2</v>
      </c>
      <c r="D74" s="41">
        <f t="shared" si="20"/>
        <v>341550</v>
      </c>
      <c r="E74" s="41">
        <f t="shared" si="20"/>
        <v>441180</v>
      </c>
      <c r="F74" s="41">
        <f t="shared" si="20"/>
        <v>378720</v>
      </c>
    </row>
    <row r="75" spans="1:6" x14ac:dyDescent="0.25">
      <c r="A75" s="1" t="s">
        <v>268</v>
      </c>
      <c r="B75" s="41">
        <f t="shared" si="13"/>
        <v>124740</v>
      </c>
      <c r="C75" s="41">
        <f t="shared" ref="C75:F75" si="21">+C60*C47*C29</f>
        <v>494801.99999999994</v>
      </c>
      <c r="D75" s="41">
        <f t="shared" si="21"/>
        <v>817020</v>
      </c>
      <c r="E75" s="41">
        <f t="shared" si="21"/>
        <v>980400</v>
      </c>
      <c r="F75" s="41">
        <f t="shared" si="21"/>
        <v>1449420</v>
      </c>
    </row>
    <row r="76" spans="1:6" x14ac:dyDescent="0.25">
      <c r="A76" s="1" t="s">
        <v>187</v>
      </c>
      <c r="B76" s="41">
        <f t="shared" si="13"/>
        <v>3030960</v>
      </c>
      <c r="C76" s="41">
        <f t="shared" ref="C76:F76" si="22">+C61*C48*C30</f>
        <v>3104982.0000000005</v>
      </c>
      <c r="D76" s="41">
        <f t="shared" si="22"/>
        <v>3278880</v>
      </c>
      <c r="E76" s="41">
        <f t="shared" si="22"/>
        <v>3552660</v>
      </c>
      <c r="F76" s="41">
        <f t="shared" si="22"/>
        <v>3787200</v>
      </c>
    </row>
    <row r="79" spans="1:6" x14ac:dyDescent="0.25">
      <c r="A79" s="208" t="s">
        <v>270</v>
      </c>
      <c r="B79" s="42"/>
      <c r="C79" s="42"/>
      <c r="D79" s="42"/>
      <c r="E79" s="42"/>
      <c r="F79" s="42"/>
    </row>
    <row r="80" spans="1:6" x14ac:dyDescent="0.25">
      <c r="A80" s="42"/>
      <c r="B80" s="196">
        <v>2377829</v>
      </c>
      <c r="C80" s="196">
        <v>2377829</v>
      </c>
      <c r="D80" s="196">
        <v>2377829</v>
      </c>
      <c r="E80" s="196">
        <v>2377829</v>
      </c>
      <c r="F80" s="196">
        <v>2377829</v>
      </c>
    </row>
    <row r="81" spans="1:6" x14ac:dyDescent="0.25">
      <c r="A81" s="42"/>
      <c r="B81" s="196"/>
      <c r="C81" s="196"/>
      <c r="D81" s="196"/>
      <c r="E81" s="196"/>
      <c r="F81" s="196"/>
    </row>
    <row r="82" spans="1:6" x14ac:dyDescent="0.25">
      <c r="A82" s="208" t="s">
        <v>388</v>
      </c>
      <c r="B82" s="196"/>
      <c r="C82" s="196"/>
      <c r="D82" s="196"/>
      <c r="E82" s="196"/>
      <c r="F82" s="196"/>
    </row>
    <row r="83" spans="1:6" x14ac:dyDescent="0.25">
      <c r="A83" s="42"/>
      <c r="B83" s="215">
        <v>285862.5</v>
      </c>
      <c r="C83" s="215">
        <v>285862.5</v>
      </c>
      <c r="D83" s="215">
        <v>285862.5</v>
      </c>
      <c r="E83" s="215">
        <v>285862.5</v>
      </c>
      <c r="F83" s="215">
        <v>285862.5</v>
      </c>
    </row>
    <row r="84" spans="1:6" x14ac:dyDescent="0.25">
      <c r="A84" s="42"/>
      <c r="B84" s="42"/>
      <c r="C84" s="42"/>
      <c r="D84" s="42"/>
      <c r="E84" s="42"/>
      <c r="F84" s="42"/>
    </row>
    <row r="85" spans="1:6" x14ac:dyDescent="0.25">
      <c r="A85" s="208" t="s">
        <v>271</v>
      </c>
      <c r="B85" s="42"/>
      <c r="C85" s="42"/>
      <c r="D85" s="42"/>
      <c r="E85" s="42"/>
      <c r="F85" s="42"/>
    </row>
    <row r="86" spans="1:6" x14ac:dyDescent="0.25">
      <c r="A86" s="42"/>
      <c r="B86" s="196">
        <v>1500000</v>
      </c>
      <c r="C86" s="196">
        <f>+B86</f>
        <v>1500000</v>
      </c>
      <c r="D86" s="196">
        <f>+C86</f>
        <v>1500000</v>
      </c>
      <c r="E86" s="196">
        <f>+D86</f>
        <v>1500000</v>
      </c>
      <c r="F86" s="196">
        <f>+E86</f>
        <v>1500000</v>
      </c>
    </row>
    <row r="87" spans="1:6" x14ac:dyDescent="0.25">
      <c r="A87" s="42"/>
      <c r="B87" s="42"/>
      <c r="C87" s="42"/>
      <c r="D87" s="42"/>
      <c r="E87" s="42"/>
      <c r="F87" s="42"/>
    </row>
    <row r="88" spans="1:6" x14ac:dyDescent="0.25">
      <c r="A88" s="42"/>
      <c r="B88" s="42"/>
      <c r="C88" s="42"/>
      <c r="D88" s="42"/>
      <c r="E88" s="42"/>
      <c r="F88" s="42"/>
    </row>
    <row r="89" spans="1:6" x14ac:dyDescent="0.25">
      <c r="A89" s="42"/>
      <c r="B89" s="217">
        <f>SUM(B67:B86)</f>
        <v>34823656.5</v>
      </c>
      <c r="C89" s="217">
        <f>SUM(C67:C86)</f>
        <v>37974503.600000001</v>
      </c>
      <c r="D89" s="217">
        <f>SUM(D67:D86)</f>
        <v>41756568.5</v>
      </c>
      <c r="E89" s="217">
        <f>SUM(E67:E86)</f>
        <v>45426841.5</v>
      </c>
      <c r="F89" s="217">
        <f>SUM(F67:F86)</f>
        <v>48315104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workbookViewId="0">
      <selection activeCell="G30" sqref="G30"/>
    </sheetView>
  </sheetViews>
  <sheetFormatPr defaultColWidth="8.85546875" defaultRowHeight="15" x14ac:dyDescent="0.25"/>
  <cols>
    <col min="1" max="1" width="50.7109375" style="1" customWidth="1"/>
    <col min="2" max="2" width="16.42578125" style="1" customWidth="1"/>
    <col min="3" max="3" width="14.85546875" style="1" customWidth="1"/>
    <col min="4" max="4" width="12.42578125" style="1" bestFit="1" customWidth="1"/>
    <col min="5" max="5" width="14.28515625" style="1" customWidth="1"/>
    <col min="6" max="8" width="12.42578125" style="1" bestFit="1" customWidth="1"/>
    <col min="9" max="16384" width="8.85546875" style="1"/>
  </cols>
  <sheetData>
    <row r="1" spans="1:8" x14ac:dyDescent="0.25">
      <c r="D1" s="34" t="s">
        <v>109</v>
      </c>
      <c r="E1" s="34" t="s">
        <v>109</v>
      </c>
      <c r="F1" s="34" t="s">
        <v>109</v>
      </c>
      <c r="G1" s="34" t="s">
        <v>109</v>
      </c>
      <c r="H1" s="34" t="s">
        <v>109</v>
      </c>
    </row>
    <row r="2" spans="1:8" x14ac:dyDescent="0.25">
      <c r="C2" s="28" t="s">
        <v>110</v>
      </c>
      <c r="D2" s="34" t="s">
        <v>104</v>
      </c>
      <c r="E2" s="34" t="s">
        <v>105</v>
      </c>
      <c r="F2" s="34" t="s">
        <v>106</v>
      </c>
      <c r="G2" s="34" t="s">
        <v>107</v>
      </c>
      <c r="H2" s="34" t="s">
        <v>108</v>
      </c>
    </row>
    <row r="3" spans="1:8" x14ac:dyDescent="0.25">
      <c r="A3" s="9" t="s">
        <v>152</v>
      </c>
      <c r="D3" s="154">
        <v>0</v>
      </c>
      <c r="E3" s="154">
        <v>0</v>
      </c>
      <c r="F3" s="154">
        <v>0</v>
      </c>
      <c r="G3" s="154">
        <v>0</v>
      </c>
      <c r="H3" s="154">
        <v>0</v>
      </c>
    </row>
    <row r="4" spans="1:8" x14ac:dyDescent="0.25">
      <c r="A4" s="9" t="s">
        <v>153</v>
      </c>
      <c r="B4" s="193">
        <v>413125.39</v>
      </c>
      <c r="D4" s="153">
        <f>+B4+($D$3*1)</f>
        <v>413125.39</v>
      </c>
      <c r="E4" s="153">
        <f t="shared" ref="E4:H5" si="0">+D4+($D$3*1)</f>
        <v>413125.39</v>
      </c>
      <c r="F4" s="153">
        <f t="shared" si="0"/>
        <v>413125.39</v>
      </c>
      <c r="G4" s="153">
        <f t="shared" si="0"/>
        <v>413125.39</v>
      </c>
      <c r="H4" s="153">
        <f t="shared" si="0"/>
        <v>413125.39</v>
      </c>
    </row>
    <row r="5" spans="1:8" x14ac:dyDescent="0.25">
      <c r="A5" s="9" t="s">
        <v>154</v>
      </c>
      <c r="B5" s="193">
        <v>6911</v>
      </c>
      <c r="D5" s="153">
        <f>+B5+($D$3+1)</f>
        <v>6912</v>
      </c>
      <c r="E5" s="153">
        <f t="shared" si="0"/>
        <v>6912</v>
      </c>
      <c r="F5" s="153">
        <f t="shared" si="0"/>
        <v>6912</v>
      </c>
      <c r="G5" s="153">
        <f t="shared" si="0"/>
        <v>6912</v>
      </c>
      <c r="H5" s="153">
        <f t="shared" si="0"/>
        <v>6912</v>
      </c>
    </row>
    <row r="6" spans="1:8" x14ac:dyDescent="0.25">
      <c r="A6" s="9"/>
      <c r="B6" s="193"/>
      <c r="D6" s="153"/>
      <c r="E6" s="153"/>
      <c r="F6" s="153"/>
      <c r="G6" s="153"/>
      <c r="H6" s="153"/>
    </row>
    <row r="7" spans="1:8" x14ac:dyDescent="0.25">
      <c r="A7" s="9"/>
      <c r="B7" s="193">
        <v>2565</v>
      </c>
      <c r="D7" s="153"/>
      <c r="E7" s="153"/>
      <c r="F7" s="153"/>
      <c r="G7" s="153"/>
      <c r="H7" s="153"/>
    </row>
    <row r="8" spans="1:8" x14ac:dyDescent="0.25">
      <c r="A8" s="9"/>
      <c r="B8" s="193"/>
      <c r="D8" s="153"/>
      <c r="E8" s="153"/>
      <c r="F8" s="153"/>
      <c r="G8" s="153"/>
      <c r="H8" s="153"/>
    </row>
    <row r="9" spans="1:8" x14ac:dyDescent="0.25">
      <c r="B9" s="198" t="s">
        <v>121</v>
      </c>
      <c r="D9" s="18" t="s">
        <v>121</v>
      </c>
      <c r="E9" s="18" t="s">
        <v>121</v>
      </c>
      <c r="F9" s="18" t="s">
        <v>121</v>
      </c>
      <c r="G9" s="18" t="s">
        <v>121</v>
      </c>
      <c r="H9" s="18" t="s">
        <v>121</v>
      </c>
    </row>
    <row r="10" spans="1:8" x14ac:dyDescent="0.25">
      <c r="A10" s="9" t="s">
        <v>155</v>
      </c>
      <c r="B10" s="193">
        <f>SUM(B4:B9)</f>
        <v>422601.39</v>
      </c>
      <c r="D10" s="39">
        <f>+B10*(D3/100)+B10</f>
        <v>422601.39</v>
      </c>
      <c r="E10" s="39">
        <f>SUM(E4:E5)</f>
        <v>420037.39</v>
      </c>
      <c r="F10" s="39">
        <f>+E10*(F3/100)+E10</f>
        <v>420037.39</v>
      </c>
      <c r="G10" s="39">
        <f>+F10*(G3/100)+F10</f>
        <v>420037.39</v>
      </c>
      <c r="H10" s="39">
        <f>+G10*(H3/100)+G10</f>
        <v>420037.39</v>
      </c>
    </row>
    <row r="11" spans="1:8" x14ac:dyDescent="0.25">
      <c r="B11" s="198" t="s">
        <v>121</v>
      </c>
      <c r="D11" s="18" t="s">
        <v>121</v>
      </c>
      <c r="E11" s="18" t="s">
        <v>121</v>
      </c>
      <c r="F11" s="18" t="s">
        <v>121</v>
      </c>
      <c r="G11" s="18" t="s">
        <v>121</v>
      </c>
      <c r="H11" s="18" t="s">
        <v>121</v>
      </c>
    </row>
    <row r="12" spans="1:8" x14ac:dyDescent="0.25">
      <c r="B12" s="42"/>
    </row>
    <row r="13" spans="1:8" x14ac:dyDescent="0.25">
      <c r="B13" s="42"/>
      <c r="D13" s="34" t="s">
        <v>109</v>
      </c>
      <c r="E13" s="34" t="s">
        <v>109</v>
      </c>
      <c r="F13" s="34" t="s">
        <v>109</v>
      </c>
      <c r="G13" s="34" t="s">
        <v>109</v>
      </c>
      <c r="H13" s="34" t="s">
        <v>109</v>
      </c>
    </row>
    <row r="14" spans="1:8" x14ac:dyDescent="0.25">
      <c r="B14" s="42"/>
      <c r="C14" s="28" t="s">
        <v>110</v>
      </c>
      <c r="D14" s="34" t="s">
        <v>104</v>
      </c>
      <c r="E14" s="34" t="s">
        <v>105</v>
      </c>
      <c r="F14" s="34" t="s">
        <v>106</v>
      </c>
      <c r="G14" s="34" t="s">
        <v>107</v>
      </c>
      <c r="H14" s="34" t="s">
        <v>108</v>
      </c>
    </row>
    <row r="15" spans="1:8" x14ac:dyDescent="0.25">
      <c r="A15" s="9" t="s">
        <v>156</v>
      </c>
      <c r="B15" s="42"/>
      <c r="D15" s="154">
        <v>0</v>
      </c>
      <c r="E15" s="154">
        <v>0</v>
      </c>
      <c r="F15" s="154">
        <v>0</v>
      </c>
      <c r="G15" s="154">
        <v>0</v>
      </c>
      <c r="H15" s="154">
        <v>0</v>
      </c>
    </row>
    <row r="16" spans="1:8" x14ac:dyDescent="0.25">
      <c r="A16" s="9" t="s">
        <v>157</v>
      </c>
      <c r="B16" s="193">
        <v>676841.78</v>
      </c>
      <c r="D16" s="153">
        <v>750000</v>
      </c>
      <c r="E16" s="153">
        <v>800000</v>
      </c>
      <c r="F16" s="153">
        <f>+E16*($F$15+1)</f>
        <v>800000</v>
      </c>
      <c r="G16" s="153">
        <f>+F16*($G$15+1)</f>
        <v>800000</v>
      </c>
      <c r="H16" s="153">
        <f>+G16*($H$15+1)</f>
        <v>800000</v>
      </c>
    </row>
    <row r="17" spans="1:8" x14ac:dyDescent="0.25">
      <c r="A17" s="9" t="s">
        <v>158</v>
      </c>
      <c r="B17" s="193">
        <v>0</v>
      </c>
      <c r="D17" s="153">
        <f t="shared" ref="D17:D22" si="1">+B17*($D$15+1)</f>
        <v>0</v>
      </c>
      <c r="E17" s="153">
        <f t="shared" ref="E17:E22" si="2">+D17*($E$15+1)</f>
        <v>0</v>
      </c>
      <c r="F17" s="153">
        <f t="shared" ref="F17:F22" si="3">+E17*($F$15+1)</f>
        <v>0</v>
      </c>
      <c r="G17" s="153">
        <f t="shared" ref="G17:G22" si="4">+F17*($G$15+1)</f>
        <v>0</v>
      </c>
      <c r="H17" s="153">
        <f t="shared" ref="H17:H22" si="5">+G17*($H$15+1)</f>
        <v>0</v>
      </c>
    </row>
    <row r="18" spans="1:8" x14ac:dyDescent="0.25">
      <c r="A18" s="9" t="s">
        <v>159</v>
      </c>
      <c r="B18" s="193">
        <v>0</v>
      </c>
      <c r="D18" s="153">
        <f t="shared" si="1"/>
        <v>0</v>
      </c>
      <c r="E18" s="153">
        <f t="shared" si="2"/>
        <v>0</v>
      </c>
      <c r="F18" s="153">
        <f t="shared" si="3"/>
        <v>0</v>
      </c>
      <c r="G18" s="153">
        <f t="shared" si="4"/>
        <v>0</v>
      </c>
      <c r="H18" s="153">
        <f t="shared" si="5"/>
        <v>0</v>
      </c>
    </row>
    <row r="19" spans="1:8" x14ac:dyDescent="0.25">
      <c r="A19" s="9" t="s">
        <v>160</v>
      </c>
      <c r="B19" s="193">
        <v>91329.33</v>
      </c>
      <c r="D19" s="153">
        <v>0</v>
      </c>
      <c r="E19" s="153">
        <f t="shared" si="2"/>
        <v>0</v>
      </c>
      <c r="F19" s="153">
        <f t="shared" si="3"/>
        <v>0</v>
      </c>
      <c r="G19" s="153">
        <f t="shared" si="4"/>
        <v>0</v>
      </c>
      <c r="H19" s="153">
        <f t="shared" si="5"/>
        <v>0</v>
      </c>
    </row>
    <row r="20" spans="1:8" x14ac:dyDescent="0.25">
      <c r="A20" s="9" t="s">
        <v>200</v>
      </c>
      <c r="B20" s="193">
        <v>0</v>
      </c>
      <c r="D20" s="153">
        <f t="shared" si="1"/>
        <v>0</v>
      </c>
      <c r="E20" s="153">
        <f t="shared" si="2"/>
        <v>0</v>
      </c>
      <c r="F20" s="153">
        <f t="shared" si="3"/>
        <v>0</v>
      </c>
      <c r="G20" s="153">
        <f t="shared" si="4"/>
        <v>0</v>
      </c>
      <c r="H20" s="153">
        <f t="shared" si="5"/>
        <v>0</v>
      </c>
    </row>
    <row r="21" spans="1:8" x14ac:dyDescent="0.25">
      <c r="A21" s="9" t="s">
        <v>288</v>
      </c>
      <c r="B21" s="193">
        <v>209368.77</v>
      </c>
      <c r="D21" s="153">
        <v>0</v>
      </c>
      <c r="E21" s="153">
        <f t="shared" si="2"/>
        <v>0</v>
      </c>
      <c r="F21" s="153">
        <f t="shared" si="3"/>
        <v>0</v>
      </c>
      <c r="G21" s="153">
        <f t="shared" si="4"/>
        <v>0</v>
      </c>
      <c r="H21" s="153">
        <f t="shared" si="5"/>
        <v>0</v>
      </c>
    </row>
    <row r="22" spans="1:8" x14ac:dyDescent="0.25">
      <c r="A22" s="9" t="s">
        <v>161</v>
      </c>
      <c r="B22" s="193">
        <v>0</v>
      </c>
      <c r="D22" s="153">
        <f t="shared" si="1"/>
        <v>0</v>
      </c>
      <c r="E22" s="153">
        <f t="shared" si="2"/>
        <v>0</v>
      </c>
      <c r="F22" s="153">
        <f t="shared" si="3"/>
        <v>0</v>
      </c>
      <c r="G22" s="153">
        <f t="shared" si="4"/>
        <v>0</v>
      </c>
      <c r="H22" s="153">
        <f t="shared" si="5"/>
        <v>0</v>
      </c>
    </row>
    <row r="23" spans="1:8" x14ac:dyDescent="0.25">
      <c r="B23" s="198" t="s">
        <v>121</v>
      </c>
      <c r="D23" s="46" t="s">
        <v>121</v>
      </c>
      <c r="E23" s="46" t="s">
        <v>121</v>
      </c>
      <c r="F23" s="46" t="s">
        <v>121</v>
      </c>
      <c r="G23" s="46" t="s">
        <v>121</v>
      </c>
      <c r="H23" s="46" t="s">
        <v>121</v>
      </c>
    </row>
    <row r="24" spans="1:8" x14ac:dyDescent="0.25">
      <c r="A24" s="9" t="s">
        <v>162</v>
      </c>
      <c r="B24" s="193">
        <f>SUM(B16:B23)</f>
        <v>977539.88</v>
      </c>
      <c r="D24" s="47">
        <f>SUM(D16:D22)</f>
        <v>750000</v>
      </c>
      <c r="E24" s="47">
        <f t="shared" ref="E24:H24" si="6">SUM(E16:E22)</f>
        <v>800000</v>
      </c>
      <c r="F24" s="47">
        <f t="shared" si="6"/>
        <v>800000</v>
      </c>
      <c r="G24" s="47">
        <f t="shared" si="6"/>
        <v>800000</v>
      </c>
      <c r="H24" s="47">
        <f t="shared" si="6"/>
        <v>800000</v>
      </c>
    </row>
    <row r="25" spans="1:8" x14ac:dyDescent="0.25">
      <c r="B25" s="198" t="s">
        <v>121</v>
      </c>
      <c r="D25" s="18" t="s">
        <v>121</v>
      </c>
      <c r="E25" s="18" t="s">
        <v>121</v>
      </c>
      <c r="F25" s="18" t="s">
        <v>121</v>
      </c>
      <c r="G25" s="18" t="s">
        <v>121</v>
      </c>
      <c r="H25" s="18" t="s">
        <v>121</v>
      </c>
    </row>
    <row r="30" spans="1:8" x14ac:dyDescent="0.25">
      <c r="B30" s="194">
        <v>-1709.4</v>
      </c>
    </row>
    <row r="31" spans="1:8" ht="15.75" x14ac:dyDescent="0.25">
      <c r="A31" s="124"/>
      <c r="B31" s="194">
        <v>-2565</v>
      </c>
      <c r="C31" s="124"/>
      <c r="D31" s="124">
        <f>209369+768171</f>
        <v>977540</v>
      </c>
      <c r="E31" s="125"/>
    </row>
    <row r="32" spans="1:8" ht="15.75" x14ac:dyDescent="0.25">
      <c r="A32" s="124"/>
      <c r="B32" s="124"/>
      <c r="C32" s="124"/>
      <c r="D32" s="124"/>
      <c r="E32" s="125"/>
    </row>
    <row r="35" spans="1:5" x14ac:dyDescent="0.25">
      <c r="A35" s="131"/>
      <c r="B35" s="131"/>
      <c r="C35" s="132"/>
      <c r="D35" s="132"/>
      <c r="E35"/>
    </row>
    <row r="36" spans="1:5" x14ac:dyDescent="0.25">
      <c r="A36"/>
      <c r="B36"/>
      <c r="C36"/>
      <c r="D36"/>
      <c r="E36"/>
    </row>
    <row r="37" spans="1:5" x14ac:dyDescent="0.25">
      <c r="A37"/>
      <c r="B37" s="131"/>
      <c r="C37" s="132"/>
      <c r="D37" s="132"/>
      <c r="E37"/>
    </row>
    <row r="38" spans="1:5" x14ac:dyDescent="0.25">
      <c r="A38"/>
      <c r="B38"/>
      <c r="C38"/>
      <c r="D38"/>
      <c r="E38"/>
    </row>
    <row r="39" spans="1:5" x14ac:dyDescent="0.25">
      <c r="A39"/>
      <c r="B39" s="131"/>
      <c r="C39" s="132"/>
      <c r="D39" s="132"/>
      <c r="E39"/>
    </row>
    <row r="40" spans="1:5" x14ac:dyDescent="0.25">
      <c r="A40"/>
      <c r="B40" s="131"/>
      <c r="C40" s="132"/>
      <c r="D40" s="132"/>
      <c r="E40"/>
    </row>
    <row r="41" spans="1:5" x14ac:dyDescent="0.25">
      <c r="A41"/>
      <c r="B41" s="131"/>
      <c r="C41" s="132"/>
      <c r="D41" s="132"/>
      <c r="E41" s="131"/>
    </row>
    <row r="42" spans="1:5" x14ac:dyDescent="0.25">
      <c r="A42"/>
      <c r="B42"/>
      <c r="C42"/>
      <c r="D42"/>
      <c r="E42"/>
    </row>
    <row r="43" spans="1:5" x14ac:dyDescent="0.25">
      <c r="A43"/>
      <c r="B43" s="131"/>
      <c r="C43" s="133"/>
      <c r="D43" s="133"/>
      <c r="E43"/>
    </row>
    <row r="44" spans="1:5" x14ac:dyDescent="0.25">
      <c r="A44"/>
      <c r="B44"/>
      <c r="C44"/>
      <c r="D44"/>
      <c r="E44"/>
    </row>
  </sheetData>
  <phoneticPr fontId="8" type="noConversion"/>
  <printOptions gridLines="1"/>
  <pageMargins left="0.75" right="0.75" top="1" bottom="1" header="0.5" footer="0.5"/>
  <pageSetup scale="90" orientation="landscape"/>
  <headerFooter alignWithMargins="0">
    <oddFooter>&amp;L&amp;Z&amp;F&amp;F&amp;A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57"/>
  <sheetViews>
    <sheetView workbookViewId="0">
      <selection activeCell="N27" sqref="N27"/>
    </sheetView>
  </sheetViews>
  <sheetFormatPr defaultColWidth="8.85546875" defaultRowHeight="15" x14ac:dyDescent="0.25"/>
  <cols>
    <col min="1" max="1" width="47.140625" style="1" bestFit="1" customWidth="1"/>
    <col min="2" max="2" width="8.85546875" style="1" bestFit="1" customWidth="1"/>
    <col min="3" max="3" width="10.42578125" style="1" customWidth="1"/>
    <col min="4" max="8" width="12.42578125" style="1" bestFit="1" customWidth="1"/>
    <col min="9" max="9" width="10" style="1" bestFit="1" customWidth="1"/>
    <col min="10" max="11" width="8.85546875" style="1"/>
    <col min="12" max="12" width="2" style="1" bestFit="1" customWidth="1"/>
    <col min="13" max="16384" width="8.85546875" style="1"/>
  </cols>
  <sheetData>
    <row r="2" spans="1:13" x14ac:dyDescent="0.25">
      <c r="C2" s="40" t="s">
        <v>81</v>
      </c>
      <c r="D2" s="34" t="s">
        <v>109</v>
      </c>
      <c r="E2" s="34" t="s">
        <v>109</v>
      </c>
      <c r="F2" s="34" t="s">
        <v>109</v>
      </c>
      <c r="G2" s="34" t="s">
        <v>109</v>
      </c>
      <c r="H2" s="34" t="s">
        <v>109</v>
      </c>
    </row>
    <row r="3" spans="1:13" x14ac:dyDescent="0.25">
      <c r="C3" s="7" t="s">
        <v>82</v>
      </c>
      <c r="D3" s="34" t="s">
        <v>104</v>
      </c>
      <c r="E3" s="34" t="s">
        <v>105</v>
      </c>
      <c r="F3" s="34" t="s">
        <v>106</v>
      </c>
      <c r="G3" s="34" t="s">
        <v>107</v>
      </c>
      <c r="H3" s="34" t="s">
        <v>108</v>
      </c>
    </row>
    <row r="4" spans="1:13" x14ac:dyDescent="0.25">
      <c r="A4" s="9" t="s">
        <v>163</v>
      </c>
      <c r="C4" s="3"/>
      <c r="D4" s="35"/>
      <c r="E4" s="35"/>
      <c r="F4" s="35"/>
      <c r="G4" s="35"/>
      <c r="H4" s="35"/>
    </row>
    <row r="5" spans="1:13" x14ac:dyDescent="0.25">
      <c r="A5" s="36" t="s">
        <v>169</v>
      </c>
      <c r="B5" s="199">
        <v>1845235</v>
      </c>
      <c r="C5" s="251">
        <v>3.5000000000000003E-2</v>
      </c>
      <c r="D5" s="41">
        <v>1711852</v>
      </c>
      <c r="E5" s="41">
        <f>+D5*(1+$C$5)</f>
        <v>1771766.8199999998</v>
      </c>
      <c r="F5" s="41">
        <f>+E5*(1+$C$5)</f>
        <v>1833778.6586999998</v>
      </c>
      <c r="G5" s="41">
        <f>+F5*(1+$C$5)</f>
        <v>1897960.9117544997</v>
      </c>
      <c r="H5" s="41">
        <f>+G5*(1+$C$5)</f>
        <v>1964389.5436659069</v>
      </c>
    </row>
    <row r="6" spans="1:13" x14ac:dyDescent="0.25">
      <c r="A6" s="36" t="s">
        <v>256</v>
      </c>
      <c r="B6" s="199">
        <v>-568.79999999999995</v>
      </c>
      <c r="C6" s="37">
        <v>0</v>
      </c>
      <c r="D6" s="41">
        <v>0</v>
      </c>
      <c r="E6" s="41">
        <f>+D6</f>
        <v>0</v>
      </c>
      <c r="F6" s="41">
        <f>+E6*(1+$C$6)</f>
        <v>0</v>
      </c>
      <c r="G6" s="41">
        <f>+F6*(1+$C$6)</f>
        <v>0</v>
      </c>
      <c r="H6" s="41">
        <f>+G6*(1+$C$6)</f>
        <v>0</v>
      </c>
    </row>
    <row r="7" spans="1:13" x14ac:dyDescent="0.25">
      <c r="A7" s="36" t="s">
        <v>165</v>
      </c>
      <c r="B7" s="199">
        <v>467140</v>
      </c>
      <c r="C7" s="37">
        <v>0</v>
      </c>
      <c r="D7" s="41">
        <v>621140</v>
      </c>
      <c r="E7" s="41">
        <f>+D7*(1+$C$7)</f>
        <v>621140</v>
      </c>
      <c r="F7" s="41">
        <f>+E7*(1+$C$7)</f>
        <v>621140</v>
      </c>
      <c r="G7" s="41">
        <f>+F7*(1+$C$7)</f>
        <v>621140</v>
      </c>
      <c r="H7" s="41">
        <f>+G7*(1+$C$7)</f>
        <v>621140</v>
      </c>
    </row>
    <row r="8" spans="1:13" x14ac:dyDescent="0.25">
      <c r="A8" s="36" t="s">
        <v>166</v>
      </c>
      <c r="B8" s="199">
        <v>38007.839999999997</v>
      </c>
      <c r="C8" s="3">
        <v>1.4999999999999999E-2</v>
      </c>
      <c r="D8" s="41">
        <f>+B8*(1+$C$8)</f>
        <v>38577.957599999994</v>
      </c>
      <c r="E8" s="41">
        <f>+D8*(1+$C$8)</f>
        <v>39156.626963999988</v>
      </c>
      <c r="F8" s="41">
        <f>+E8*(1+$C$8)</f>
        <v>39743.976368459982</v>
      </c>
      <c r="G8" s="41">
        <f>+F8*(1+$C$8)</f>
        <v>40340.136013986878</v>
      </c>
      <c r="H8" s="41">
        <f>+G8*(1+$C$8)</f>
        <v>40945.238054196678</v>
      </c>
      <c r="J8" s="273"/>
      <c r="K8" s="273"/>
      <c r="L8" s="273"/>
      <c r="M8" s="273"/>
    </row>
    <row r="9" spans="1:13" x14ac:dyDescent="0.25">
      <c r="A9" s="36" t="s">
        <v>167</v>
      </c>
      <c r="B9" s="199">
        <v>0</v>
      </c>
      <c r="C9" s="37">
        <v>0</v>
      </c>
      <c r="D9" s="41">
        <f>+B9*(1+C9)</f>
        <v>0</v>
      </c>
      <c r="E9" s="41">
        <v>0</v>
      </c>
      <c r="F9" s="41">
        <f>+E9*(1+$C$9)</f>
        <v>0</v>
      </c>
      <c r="G9" s="41">
        <f>+F9*(1+$C$9)</f>
        <v>0</v>
      </c>
      <c r="H9" s="41">
        <f>+G9*(1+$C$9)</f>
        <v>0</v>
      </c>
    </row>
    <row r="10" spans="1:13" x14ac:dyDescent="0.25">
      <c r="A10" s="36" t="s">
        <v>445</v>
      </c>
      <c r="B10" s="199">
        <v>200</v>
      </c>
      <c r="C10" s="37"/>
      <c r="D10" s="41"/>
      <c r="E10" s="41"/>
      <c r="F10" s="41"/>
      <c r="G10" s="41"/>
      <c r="H10" s="41"/>
    </row>
    <row r="11" spans="1:13" x14ac:dyDescent="0.25">
      <c r="A11" s="36" t="s">
        <v>168</v>
      </c>
      <c r="B11" s="199">
        <v>326020.93</v>
      </c>
      <c r="C11" s="37">
        <v>0.02</v>
      </c>
      <c r="D11" s="41">
        <f>+B11*(1+$C$11)</f>
        <v>332541.34860000003</v>
      </c>
      <c r="E11" s="41">
        <f>+D11*(1+$C$11)</f>
        <v>339192.17557200004</v>
      </c>
      <c r="F11" s="41">
        <f>+E11*(1+$C$11)</f>
        <v>345976.01908344007</v>
      </c>
      <c r="G11" s="41">
        <f>+F11*(1+$C$11)</f>
        <v>352895.53946510889</v>
      </c>
      <c r="H11" s="41">
        <f>+G11*(1+$C$11)</f>
        <v>359953.45025441109</v>
      </c>
    </row>
    <row r="12" spans="1:13" x14ac:dyDescent="0.25">
      <c r="A12" s="36" t="s">
        <v>164</v>
      </c>
      <c r="B12" s="199">
        <v>987320.85</v>
      </c>
      <c r="C12" s="37">
        <v>0</v>
      </c>
      <c r="D12" s="41">
        <v>732280</v>
      </c>
      <c r="E12" s="41">
        <f>+D12*(1+$C$12)</f>
        <v>732280</v>
      </c>
      <c r="F12" s="41">
        <f>+E12*(1+$C$12)</f>
        <v>732280</v>
      </c>
      <c r="G12" s="41">
        <f>+F12*(1+$C$12)</f>
        <v>732280</v>
      </c>
      <c r="H12" s="41">
        <f>+G12*(1+$C$12)</f>
        <v>732280</v>
      </c>
    </row>
    <row r="13" spans="1:13" x14ac:dyDescent="0.25">
      <c r="B13" s="198" t="s">
        <v>121</v>
      </c>
      <c r="C13" s="18"/>
      <c r="D13" s="18"/>
      <c r="E13" s="18"/>
      <c r="F13" s="18"/>
      <c r="G13" s="18"/>
      <c r="H13" s="18"/>
    </row>
    <row r="14" spans="1:13" x14ac:dyDescent="0.25">
      <c r="A14" s="9" t="s">
        <v>170</v>
      </c>
      <c r="B14" s="193">
        <f>SUM(B5:B12)</f>
        <v>3663355.8200000003</v>
      </c>
      <c r="C14" s="38"/>
      <c r="D14" s="41">
        <f>SUM(D5:D12)</f>
        <v>3436391.3062</v>
      </c>
      <c r="E14" s="41">
        <f>SUM(E5:E12)</f>
        <v>3503535.6225359999</v>
      </c>
      <c r="F14" s="41">
        <f>SUM(F5:F12)</f>
        <v>3572918.6541518997</v>
      </c>
      <c r="G14" s="41">
        <f>SUM(G5:G12)</f>
        <v>3644616.5872335956</v>
      </c>
      <c r="H14" s="41">
        <f>SUM(H5:H12)</f>
        <v>3718708.2319745147</v>
      </c>
    </row>
    <row r="15" spans="1:13" x14ac:dyDescent="0.25">
      <c r="B15" s="198" t="s">
        <v>121</v>
      </c>
      <c r="C15" s="18"/>
      <c r="D15" s="18" t="s">
        <v>121</v>
      </c>
      <c r="E15" s="18" t="s">
        <v>121</v>
      </c>
      <c r="F15" s="18" t="s">
        <v>121</v>
      </c>
      <c r="G15" s="18" t="s">
        <v>121</v>
      </c>
      <c r="H15" s="18" t="s">
        <v>121</v>
      </c>
    </row>
    <row r="16" spans="1:13" x14ac:dyDescent="0.25">
      <c r="B16" s="200"/>
      <c r="C16" s="18"/>
    </row>
    <row r="17" spans="1:9" x14ac:dyDescent="0.25">
      <c r="B17" s="188"/>
      <c r="D17" s="34" t="s">
        <v>109</v>
      </c>
      <c r="E17" s="34" t="s">
        <v>109</v>
      </c>
      <c r="F17" s="34" t="s">
        <v>109</v>
      </c>
      <c r="G17" s="34" t="s">
        <v>109</v>
      </c>
      <c r="H17" s="34" t="s">
        <v>109</v>
      </c>
    </row>
    <row r="18" spans="1:9" x14ac:dyDescent="0.25">
      <c r="B18" s="188"/>
      <c r="D18" s="34" t="s">
        <v>104</v>
      </c>
      <c r="E18" s="34" t="s">
        <v>105</v>
      </c>
      <c r="F18" s="34" t="s">
        <v>106</v>
      </c>
      <c r="G18" s="34" t="s">
        <v>107</v>
      </c>
      <c r="H18" s="34" t="s">
        <v>108</v>
      </c>
    </row>
    <row r="19" spans="1:9" x14ac:dyDescent="0.25">
      <c r="A19" s="149" t="s">
        <v>171</v>
      </c>
      <c r="B19" s="188"/>
      <c r="C19" s="42"/>
      <c r="D19" s="150">
        <v>0</v>
      </c>
      <c r="E19" s="150">
        <v>0.1694</v>
      </c>
      <c r="F19" s="150">
        <v>0</v>
      </c>
      <c r="G19" s="150">
        <v>0</v>
      </c>
      <c r="H19" s="150">
        <v>0</v>
      </c>
      <c r="I19" s="42"/>
    </row>
    <row r="20" spans="1:9" x14ac:dyDescent="0.25">
      <c r="A20" s="151" t="s">
        <v>172</v>
      </c>
      <c r="B20" s="199">
        <v>172158.84</v>
      </c>
      <c r="C20" s="152"/>
      <c r="D20" s="153">
        <f>+B20*(1+$D$19)</f>
        <v>172158.84</v>
      </c>
      <c r="E20" s="153">
        <f>+D20*($E$19+1)</f>
        <v>201322.54749599998</v>
      </c>
      <c r="F20" s="153">
        <f>+E20*($E$19+1)</f>
        <v>235426.58704182238</v>
      </c>
      <c r="G20" s="153">
        <f>+F20*($E$19+1)</f>
        <v>275307.85088670708</v>
      </c>
      <c r="H20" s="153">
        <f>+G20*($E$19+1)</f>
        <v>321945.00082691526</v>
      </c>
      <c r="I20" s="42"/>
    </row>
    <row r="21" spans="1:9" x14ac:dyDescent="0.25">
      <c r="A21" s="151" t="s">
        <v>173</v>
      </c>
      <c r="B21" s="199">
        <v>15535</v>
      </c>
      <c r="C21" s="152"/>
      <c r="D21" s="153">
        <f t="shared" ref="D21:D30" si="0">+B21*(1+$D$19)</f>
        <v>15535</v>
      </c>
      <c r="E21" s="153">
        <f t="shared" ref="E21:H30" si="1">+D21*($E$19+1)</f>
        <v>18166.629000000001</v>
      </c>
      <c r="F21" s="153">
        <f t="shared" si="1"/>
        <v>21244.0559526</v>
      </c>
      <c r="G21" s="153">
        <f t="shared" si="1"/>
        <v>24842.79903097044</v>
      </c>
      <c r="H21" s="153">
        <f t="shared" si="1"/>
        <v>29051.169186816831</v>
      </c>
      <c r="I21" s="42"/>
    </row>
    <row r="22" spans="1:9" x14ac:dyDescent="0.25">
      <c r="A22" s="151" t="s">
        <v>174</v>
      </c>
      <c r="B22" s="199">
        <v>41915</v>
      </c>
      <c r="C22" s="152"/>
      <c r="D22" s="153">
        <f t="shared" si="0"/>
        <v>41915</v>
      </c>
      <c r="E22" s="153">
        <f t="shared" si="1"/>
        <v>49015.400999999998</v>
      </c>
      <c r="F22" s="153">
        <f t="shared" si="1"/>
        <v>57318.609929399994</v>
      </c>
      <c r="G22" s="153">
        <f t="shared" si="1"/>
        <v>67028.382451440353</v>
      </c>
      <c r="H22" s="153">
        <f t="shared" si="1"/>
        <v>78382.990438714347</v>
      </c>
      <c r="I22" s="42"/>
    </row>
    <row r="23" spans="1:9" x14ac:dyDescent="0.25">
      <c r="A23" s="151" t="s">
        <v>175</v>
      </c>
      <c r="B23" s="199">
        <v>43580</v>
      </c>
      <c r="C23" s="152"/>
      <c r="D23" s="153">
        <f t="shared" si="0"/>
        <v>43580</v>
      </c>
      <c r="E23" s="153">
        <f t="shared" si="1"/>
        <v>50962.451999999997</v>
      </c>
      <c r="F23" s="153">
        <f t="shared" si="1"/>
        <v>59595.491368799994</v>
      </c>
      <c r="G23" s="153">
        <f t="shared" si="1"/>
        <v>69690.96760667472</v>
      </c>
      <c r="H23" s="153">
        <f t="shared" si="1"/>
        <v>81496.61751924541</v>
      </c>
      <c r="I23" s="42"/>
    </row>
    <row r="24" spans="1:9" x14ac:dyDescent="0.25">
      <c r="A24" s="151" t="s">
        <v>176</v>
      </c>
      <c r="B24" s="199">
        <v>2207</v>
      </c>
      <c r="C24" s="152"/>
      <c r="D24" s="153">
        <f t="shared" si="0"/>
        <v>2207</v>
      </c>
      <c r="E24" s="153">
        <f t="shared" si="1"/>
        <v>2580.8658</v>
      </c>
      <c r="F24" s="153">
        <f t="shared" si="1"/>
        <v>3018.0644665200002</v>
      </c>
      <c r="G24" s="153">
        <f t="shared" si="1"/>
        <v>3529.3245871484883</v>
      </c>
      <c r="H24" s="153">
        <f t="shared" si="1"/>
        <v>4127.1921722114421</v>
      </c>
      <c r="I24" s="42"/>
    </row>
    <row r="25" spans="1:9" x14ac:dyDescent="0.25">
      <c r="A25" s="151" t="s">
        <v>177</v>
      </c>
      <c r="B25" s="199">
        <v>21649.03</v>
      </c>
      <c r="C25" s="152"/>
      <c r="D25" s="153">
        <f t="shared" si="0"/>
        <v>21649.03</v>
      </c>
      <c r="E25" s="153">
        <f t="shared" si="1"/>
        <v>25316.375681999998</v>
      </c>
      <c r="F25" s="153">
        <f t="shared" si="1"/>
        <v>29604.969722530797</v>
      </c>
      <c r="G25" s="153">
        <f t="shared" si="1"/>
        <v>34620.051593527511</v>
      </c>
      <c r="H25" s="153">
        <f t="shared" si="1"/>
        <v>40484.688333471073</v>
      </c>
      <c r="I25" s="42"/>
    </row>
    <row r="26" spans="1:9" x14ac:dyDescent="0.25">
      <c r="A26" s="151" t="s">
        <v>178</v>
      </c>
      <c r="B26" s="199">
        <v>138</v>
      </c>
      <c r="C26" s="152"/>
      <c r="D26" s="153">
        <f t="shared" si="0"/>
        <v>138</v>
      </c>
      <c r="E26" s="153">
        <f t="shared" si="1"/>
        <v>161.37719999999999</v>
      </c>
      <c r="F26" s="153">
        <f t="shared" si="1"/>
        <v>188.71449767999999</v>
      </c>
      <c r="G26" s="153">
        <f t="shared" si="1"/>
        <v>220.68273358699199</v>
      </c>
      <c r="H26" s="153">
        <f t="shared" si="1"/>
        <v>258.06638865662842</v>
      </c>
      <c r="I26" s="42"/>
    </row>
    <row r="27" spans="1:9" x14ac:dyDescent="0.25">
      <c r="A27" s="151" t="s">
        <v>179</v>
      </c>
      <c r="B27" s="199">
        <v>58336.9</v>
      </c>
      <c r="C27" s="152"/>
      <c r="D27" s="153">
        <f t="shared" si="0"/>
        <v>58336.9</v>
      </c>
      <c r="E27" s="153">
        <f t="shared" si="1"/>
        <v>68219.170859999998</v>
      </c>
      <c r="F27" s="153">
        <f t="shared" si="1"/>
        <v>79775.498403684003</v>
      </c>
      <c r="G27" s="153">
        <f t="shared" si="1"/>
        <v>93289.467833268078</v>
      </c>
      <c r="H27" s="153">
        <f t="shared" si="1"/>
        <v>109092.70368422368</v>
      </c>
      <c r="I27" s="42"/>
    </row>
    <row r="28" spans="1:9" x14ac:dyDescent="0.25">
      <c r="A28" s="151" t="s">
        <v>257</v>
      </c>
      <c r="B28" s="199">
        <v>6195</v>
      </c>
      <c r="C28" s="152"/>
      <c r="D28" s="153">
        <f t="shared" si="0"/>
        <v>6195</v>
      </c>
      <c r="E28" s="153">
        <f t="shared" si="1"/>
        <v>7244.433</v>
      </c>
      <c r="F28" s="153">
        <f t="shared" si="1"/>
        <v>8471.6399502000004</v>
      </c>
      <c r="G28" s="153">
        <f t="shared" si="1"/>
        <v>9906.7357577638795</v>
      </c>
      <c r="H28" s="153">
        <f t="shared" si="1"/>
        <v>11584.936795129081</v>
      </c>
      <c r="I28" s="42"/>
    </row>
    <row r="29" spans="1:9" x14ac:dyDescent="0.25">
      <c r="A29" s="151" t="s">
        <v>450</v>
      </c>
      <c r="B29" s="199">
        <v>95</v>
      </c>
      <c r="C29" s="152"/>
      <c r="D29" s="153">
        <f t="shared" si="0"/>
        <v>95</v>
      </c>
      <c r="E29" s="153">
        <f t="shared" si="1"/>
        <v>111.093</v>
      </c>
      <c r="F29" s="153">
        <f t="shared" si="1"/>
        <v>129.9121542</v>
      </c>
      <c r="G29" s="153">
        <f t="shared" si="1"/>
        <v>151.91927312147999</v>
      </c>
      <c r="H29" s="153">
        <f t="shared" si="1"/>
        <v>177.65439798825869</v>
      </c>
      <c r="I29" s="42"/>
    </row>
    <row r="30" spans="1:9" x14ac:dyDescent="0.25">
      <c r="A30" s="151" t="s">
        <v>180</v>
      </c>
      <c r="B30" s="199">
        <v>22979</v>
      </c>
      <c r="C30" s="152"/>
      <c r="D30" s="153">
        <f t="shared" si="0"/>
        <v>22979</v>
      </c>
      <c r="E30" s="153">
        <f t="shared" si="1"/>
        <v>26871.642599999999</v>
      </c>
      <c r="F30" s="153">
        <f t="shared" si="1"/>
        <v>31423.698856439998</v>
      </c>
      <c r="G30" s="153">
        <f t="shared" si="1"/>
        <v>36746.873442720935</v>
      </c>
      <c r="H30" s="153">
        <f t="shared" si="1"/>
        <v>42971.793803917863</v>
      </c>
      <c r="I30" s="42"/>
    </row>
    <row r="31" spans="1:9" x14ac:dyDescent="0.25">
      <c r="B31" s="198" t="s">
        <v>121</v>
      </c>
      <c r="C31" s="18"/>
      <c r="D31" s="18" t="s">
        <v>121</v>
      </c>
      <c r="E31" s="18" t="s">
        <v>121</v>
      </c>
      <c r="F31" s="18" t="s">
        <v>121</v>
      </c>
      <c r="G31" s="18" t="s">
        <v>121</v>
      </c>
      <c r="H31" s="18" t="s">
        <v>121</v>
      </c>
    </row>
    <row r="32" spans="1:9" x14ac:dyDescent="0.25">
      <c r="A32" s="9" t="s">
        <v>181</v>
      </c>
      <c r="B32" s="193">
        <f>SUM(B20:B31)</f>
        <v>384788.77</v>
      </c>
      <c r="C32" s="38"/>
      <c r="D32" s="39">
        <f>+B32*(D19/100)+B32</f>
        <v>384788.77</v>
      </c>
      <c r="E32" s="39">
        <f>SUM(E20:E30)</f>
        <v>449971.98763800005</v>
      </c>
      <c r="F32" s="39">
        <f>+E32*(F19/100)+E32</f>
        <v>449971.98763800005</v>
      </c>
      <c r="G32" s="39">
        <f>+F32*(G19/100)+F32</f>
        <v>449971.98763800005</v>
      </c>
      <c r="H32" s="39">
        <f>+G32*(H19/100)+G32</f>
        <v>449971.98763800005</v>
      </c>
    </row>
    <row r="33" spans="1:8" x14ac:dyDescent="0.25">
      <c r="B33" s="198" t="s">
        <v>121</v>
      </c>
      <c r="C33" s="18"/>
      <c r="D33" s="18" t="s">
        <v>121</v>
      </c>
      <c r="E33" s="18" t="s">
        <v>121</v>
      </c>
      <c r="F33" s="18" t="s">
        <v>121</v>
      </c>
      <c r="G33" s="18" t="s">
        <v>121</v>
      </c>
      <c r="H33" s="18" t="s">
        <v>121</v>
      </c>
    </row>
    <row r="35" spans="1:8" ht="15.75" x14ac:dyDescent="0.25">
      <c r="A35" s="126"/>
      <c r="B35" s="124"/>
      <c r="C35" s="127"/>
      <c r="D35" s="124"/>
      <c r="E35" s="128"/>
      <c r="G35" s="1">
        <f>450000/D32</f>
        <v>1.1694727993231195</v>
      </c>
    </row>
    <row r="36" spans="1:8" ht="15.75" x14ac:dyDescent="0.25">
      <c r="A36" s="126"/>
      <c r="B36" s="124"/>
      <c r="C36" s="129"/>
      <c r="D36" s="124"/>
      <c r="E36" s="128"/>
    </row>
    <row r="37" spans="1:8" ht="15.75" x14ac:dyDescent="0.25">
      <c r="A37" s="126"/>
      <c r="B37" s="124"/>
      <c r="C37" s="127"/>
      <c r="D37" s="124"/>
      <c r="E37" s="128"/>
    </row>
    <row r="38" spans="1:8" ht="15.75" x14ac:dyDescent="0.25">
      <c r="A38" s="126"/>
      <c r="B38" s="124"/>
      <c r="C38" s="127"/>
      <c r="D38" s="124"/>
      <c r="E38" s="128"/>
    </row>
    <row r="39" spans="1:8" ht="15.75" x14ac:dyDescent="0.25">
      <c r="A39" s="126"/>
      <c r="B39" s="124"/>
      <c r="C39" s="127"/>
      <c r="D39" s="124"/>
      <c r="E39" s="128"/>
    </row>
    <row r="40" spans="1:8" ht="15.75" x14ac:dyDescent="0.25">
      <c r="A40" s="126"/>
      <c r="B40" s="124"/>
      <c r="C40" s="127"/>
      <c r="D40" s="124"/>
      <c r="E40" s="128"/>
    </row>
    <row r="41" spans="1:8" ht="15.75" x14ac:dyDescent="0.25">
      <c r="A41" s="126"/>
      <c r="B41" s="124"/>
      <c r="C41" s="127"/>
      <c r="D41" s="124"/>
      <c r="E41" s="128"/>
    </row>
    <row r="42" spans="1:8" ht="15.75" x14ac:dyDescent="0.25">
      <c r="A42" s="126"/>
      <c r="B42" s="124"/>
      <c r="C42" s="127"/>
      <c r="D42" s="124"/>
      <c r="E42" s="128"/>
    </row>
    <row r="43" spans="1:8" ht="15.75" x14ac:dyDescent="0.25">
      <c r="A43" s="126"/>
      <c r="B43" s="124"/>
      <c r="C43" s="127"/>
      <c r="D43" s="128"/>
      <c r="E43" s="128"/>
    </row>
    <row r="44" spans="1:8" ht="15.75" x14ac:dyDescent="0.25">
      <c r="A44" s="126"/>
      <c r="B44" s="124"/>
      <c r="C44" s="127"/>
      <c r="D44" s="128"/>
      <c r="E44" s="128"/>
    </row>
    <row r="45" spans="1:8" ht="15.75" x14ac:dyDescent="0.25">
      <c r="A45" s="126"/>
      <c r="B45" s="124"/>
      <c r="C45" s="127"/>
      <c r="D45" s="128"/>
      <c r="E45" s="128"/>
    </row>
    <row r="46" spans="1:8" ht="15.75" x14ac:dyDescent="0.25">
      <c r="A46" s="126"/>
      <c r="B46" s="124"/>
      <c r="C46" s="127"/>
      <c r="D46" s="128"/>
      <c r="E46" s="128"/>
    </row>
    <row r="47" spans="1:8" ht="15.75" x14ac:dyDescent="0.25">
      <c r="A47" s="126"/>
      <c r="B47" s="124"/>
      <c r="C47" s="127"/>
      <c r="D47" s="128"/>
      <c r="E47" s="128"/>
    </row>
    <row r="48" spans="1:8" ht="15.75" x14ac:dyDescent="0.25">
      <c r="A48" s="126"/>
      <c r="B48" s="124"/>
      <c r="C48" s="127"/>
      <c r="D48" s="128"/>
      <c r="E48" s="128"/>
    </row>
    <row r="49" spans="1:5" ht="15.75" x14ac:dyDescent="0.25">
      <c r="A49" s="126"/>
      <c r="B49" s="124"/>
      <c r="C49" s="127"/>
      <c r="D49" s="128"/>
      <c r="E49" s="128"/>
    </row>
    <row r="50" spans="1:5" ht="15.75" x14ac:dyDescent="0.25">
      <c r="A50" s="126"/>
      <c r="B50" s="124"/>
      <c r="C50" s="127"/>
      <c r="D50" s="128"/>
      <c r="E50" s="128"/>
    </row>
    <row r="51" spans="1:5" ht="15.75" x14ac:dyDescent="0.25">
      <c r="A51" s="126"/>
      <c r="B51" s="124"/>
      <c r="C51" s="127"/>
      <c r="D51" s="128"/>
      <c r="E51" s="128"/>
    </row>
    <row r="52" spans="1:5" ht="15.75" x14ac:dyDescent="0.25">
      <c r="A52" s="126"/>
      <c r="B52" s="124"/>
      <c r="C52" s="127"/>
      <c r="D52" s="128"/>
      <c r="E52" s="128"/>
    </row>
    <row r="53" spans="1:5" ht="15.75" x14ac:dyDescent="0.25">
      <c r="A53" s="126"/>
      <c r="B53" s="124"/>
      <c r="C53" s="127"/>
      <c r="D53" s="128"/>
      <c r="E53" s="128"/>
    </row>
    <row r="54" spans="1:5" ht="15.75" x14ac:dyDescent="0.25">
      <c r="A54" s="126"/>
      <c r="B54" s="124"/>
      <c r="C54" s="129"/>
      <c r="D54" s="128"/>
      <c r="E54" s="128"/>
    </row>
    <row r="55" spans="1:5" ht="15.75" x14ac:dyDescent="0.25">
      <c r="A55" s="124"/>
      <c r="B55" s="124"/>
      <c r="C55" s="124"/>
      <c r="D55" s="124"/>
      <c r="E55" s="122"/>
    </row>
    <row r="56" spans="1:5" ht="16.5" thickBot="1" x14ac:dyDescent="0.3">
      <c r="A56" s="130"/>
      <c r="B56" s="124"/>
      <c r="C56" s="124"/>
      <c r="D56" s="124"/>
      <c r="E56" s="123"/>
    </row>
    <row r="57" spans="1:5" ht="15.75" thickTop="1" x14ac:dyDescent="0.25"/>
  </sheetData>
  <sortState ref="N1:N73">
    <sortCondition ref="N1"/>
  </sortState>
  <mergeCells count="1">
    <mergeCell ref="J8:M8"/>
  </mergeCells>
  <phoneticPr fontId="8" type="noConversion"/>
  <printOptions gridLines="1"/>
  <pageMargins left="0.75" right="0.75" top="1" bottom="1" header="0.5" footer="0.5"/>
  <pageSetup orientation="landscape"/>
  <headerFooter alignWithMargins="0">
    <oddFooter>&amp;L&amp;Z&amp;F&amp;F&amp;A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Homegrown P&amp; L Model</vt:lpstr>
      <vt:lpstr>Homegrown P&amp; L Model w AC Costs</vt:lpstr>
      <vt:lpstr>Enrollment Basis</vt:lpstr>
      <vt:lpstr>New Students - Enrlmt Fees</vt:lpstr>
      <vt:lpstr>Tuition &amp; Fee Revenue</vt:lpstr>
      <vt:lpstr>Student Aid</vt:lpstr>
      <vt:lpstr>Tuition Revenue</vt:lpstr>
      <vt:lpstr>Grant Revenue</vt:lpstr>
      <vt:lpstr>Auxiliary Revenue</vt:lpstr>
      <vt:lpstr>Academic Center Related Expense</vt:lpstr>
      <vt:lpstr>Other Revenue</vt:lpstr>
      <vt:lpstr>Expenses by Object</vt:lpstr>
      <vt:lpstr>Debt Service</vt:lpstr>
      <vt:lpstr>Accretion Expense</vt:lpstr>
      <vt:lpstr>Depreciation</vt:lpstr>
      <vt:lpstr>Bond Principal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Pat McGuire</cp:lastModifiedBy>
  <cp:lastPrinted>2006-10-30T14:22:15Z</cp:lastPrinted>
  <dcterms:created xsi:type="dcterms:W3CDTF">2005-10-25T20:48:48Z</dcterms:created>
  <dcterms:modified xsi:type="dcterms:W3CDTF">2016-01-16T19:14:35Z</dcterms:modified>
</cp:coreProperties>
</file>